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urrieandbrown-my.sharepoint.com/personal/tassos_kougionis_curriebrown_com/Documents/GMA Proposals/Final Reports/"/>
    </mc:Choice>
  </mc:AlternateContent>
  <xr:revisionPtr revIDLastSave="0" documentId="8_{768C7166-56CA-454F-B2E4-D8B0594F3E3A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carbon emissions saved" sheetId="19" r:id="rId1"/>
    <sheet name="total fundsize" sheetId="18" r:id="rId2"/>
    <sheet name="Co2 archetype projections" sheetId="17" r:id="rId3"/>
    <sheet name="Housing proportion" sheetId="2" r:id="rId4"/>
    <sheet name="housing proportion projections" sheetId="1" r:id="rId5"/>
    <sheet name="scenario 1" sheetId="4" r:id="rId6"/>
    <sheet name="scenario 2.1 " sheetId="8" r:id="rId7"/>
    <sheet name="scenario 3" sheetId="6" r:id="rId8"/>
    <sheet name="scenario 4" sheetId="9" r:id="rId9"/>
    <sheet name="reference data" sheetId="7" r:id="rId10"/>
    <sheet name="reference data- 2" sheetId="5" r:id="rId11"/>
    <sheet name="password " sheetId="20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6" i="9" l="1"/>
  <c r="L141" i="9"/>
  <c r="L126" i="9"/>
  <c r="L111" i="9"/>
  <c r="L96" i="9"/>
  <c r="L81" i="9"/>
  <c r="L66" i="9"/>
  <c r="L51" i="9"/>
  <c r="L36" i="9"/>
  <c r="L21" i="9"/>
  <c r="L6" i="9"/>
  <c r="C8" i="9"/>
  <c r="L156" i="6"/>
  <c r="E157" i="6"/>
  <c r="J158" i="6"/>
  <c r="L141" i="6"/>
  <c r="F144" i="6"/>
  <c r="L126" i="6"/>
  <c r="J128" i="6"/>
  <c r="D130" i="6"/>
  <c r="B129" i="6"/>
  <c r="L111" i="6"/>
  <c r="G112" i="6"/>
  <c r="E114" i="6"/>
  <c r="F114" i="6"/>
  <c r="B113" i="6"/>
  <c r="B114" i="6"/>
  <c r="K97" i="6"/>
  <c r="C98" i="6"/>
  <c r="I99" i="6"/>
  <c r="J99" i="6"/>
  <c r="F83" i="6"/>
  <c r="G83" i="6"/>
  <c r="D85" i="6"/>
  <c r="E85" i="6"/>
  <c r="D67" i="6"/>
  <c r="K68" i="6"/>
  <c r="H70" i="6"/>
  <c r="I70" i="6"/>
  <c r="H52" i="6"/>
  <c r="C38" i="6"/>
  <c r="J39" i="6"/>
  <c r="G23" i="6"/>
  <c r="E25" i="6"/>
  <c r="D7" i="6"/>
  <c r="K8" i="6"/>
  <c r="I10" i="6"/>
  <c r="O156" i="8"/>
  <c r="C157" i="8"/>
  <c r="J157" i="8"/>
  <c r="N157" i="8"/>
  <c r="I158" i="8"/>
  <c r="M158" i="8"/>
  <c r="O141" i="8"/>
  <c r="F142" i="8"/>
  <c r="E143" i="8"/>
  <c r="N143" i="8"/>
  <c r="D144" i="8"/>
  <c r="M144" i="8"/>
  <c r="L145" i="8"/>
  <c r="O126" i="8"/>
  <c r="G127" i="8"/>
  <c r="D129" i="8"/>
  <c r="L129" i="8"/>
  <c r="C130" i="8"/>
  <c r="H130" i="8"/>
  <c r="K130" i="8"/>
  <c r="O111" i="8"/>
  <c r="C112" i="8"/>
  <c r="F112" i="8"/>
  <c r="K112" i="8"/>
  <c r="N112" i="8"/>
  <c r="J113" i="8"/>
  <c r="F114" i="8"/>
  <c r="G115" i="8"/>
  <c r="B113" i="8"/>
  <c r="B112" i="8"/>
  <c r="O96" i="8"/>
  <c r="J97" i="8"/>
  <c r="F98" i="8"/>
  <c r="I98" i="8"/>
  <c r="N98" i="8"/>
  <c r="E99" i="8"/>
  <c r="M99" i="8"/>
  <c r="O81" i="8"/>
  <c r="E83" i="8"/>
  <c r="M83" i="8"/>
  <c r="H84" i="8"/>
  <c r="I84" i="8"/>
  <c r="D85" i="8"/>
  <c r="E85" i="8"/>
  <c r="L85" i="8"/>
  <c r="O66" i="8"/>
  <c r="G67" i="8"/>
  <c r="D69" i="8"/>
  <c r="L69" i="8"/>
  <c r="C70" i="8"/>
  <c r="H70" i="8"/>
  <c r="K70" i="8"/>
  <c r="O51" i="8"/>
  <c r="J52" i="8"/>
  <c r="I53" i="8"/>
  <c r="N53" i="8"/>
  <c r="G54" i="8"/>
  <c r="D55" i="8"/>
  <c r="H55" i="8"/>
  <c r="L55" i="8"/>
  <c r="B54" i="8"/>
  <c r="O36" i="8"/>
  <c r="C37" i="8"/>
  <c r="F37" i="8"/>
  <c r="G37" i="8"/>
  <c r="J37" i="8"/>
  <c r="K37" i="8"/>
  <c r="N37" i="8"/>
  <c r="F38" i="8"/>
  <c r="J38" i="8"/>
  <c r="N38" i="8"/>
  <c r="C40" i="8"/>
  <c r="G40" i="8"/>
  <c r="K40" i="8"/>
  <c r="B38" i="8"/>
  <c r="B37" i="8"/>
  <c r="O21" i="8"/>
  <c r="E23" i="8"/>
  <c r="F23" i="8"/>
  <c r="I23" i="8"/>
  <c r="J23" i="8"/>
  <c r="M23" i="8"/>
  <c r="N23" i="8"/>
  <c r="E24" i="8"/>
  <c r="I24" i="8"/>
  <c r="M24" i="8"/>
  <c r="B22" i="8"/>
  <c r="O6" i="4"/>
  <c r="O6" i="8"/>
  <c r="D7" i="8"/>
  <c r="H7" i="8"/>
  <c r="L7" i="8"/>
  <c r="C8" i="8"/>
  <c r="G8" i="8"/>
  <c r="K8" i="8"/>
  <c r="D10" i="8"/>
  <c r="H10" i="8"/>
  <c r="L10" i="8"/>
  <c r="B9" i="8"/>
  <c r="AA28" i="4"/>
  <c r="E158" i="4"/>
  <c r="I158" i="4"/>
  <c r="M158" i="4"/>
  <c r="D159" i="4"/>
  <c r="E159" i="4"/>
  <c r="H159" i="4"/>
  <c r="I159" i="4"/>
  <c r="L159" i="4"/>
  <c r="M159" i="4"/>
  <c r="D160" i="4"/>
  <c r="H160" i="4"/>
  <c r="L160" i="4"/>
  <c r="E143" i="4"/>
  <c r="I143" i="4"/>
  <c r="M143" i="4"/>
  <c r="D144" i="4"/>
  <c r="E144" i="4"/>
  <c r="H144" i="4"/>
  <c r="I144" i="4"/>
  <c r="L144" i="4"/>
  <c r="M144" i="4"/>
  <c r="D145" i="4"/>
  <c r="H145" i="4"/>
  <c r="L145" i="4"/>
  <c r="E128" i="4"/>
  <c r="I128" i="4"/>
  <c r="M128" i="4"/>
  <c r="D129" i="4"/>
  <c r="E129" i="4"/>
  <c r="H129" i="4"/>
  <c r="I129" i="4"/>
  <c r="L129" i="4"/>
  <c r="M129" i="4"/>
  <c r="D130" i="4"/>
  <c r="H130" i="4"/>
  <c r="L130" i="4"/>
  <c r="E113" i="4"/>
  <c r="I113" i="4"/>
  <c r="M113" i="4"/>
  <c r="D114" i="4"/>
  <c r="E114" i="4"/>
  <c r="H114" i="4"/>
  <c r="I114" i="4"/>
  <c r="L114" i="4"/>
  <c r="M114" i="4"/>
  <c r="D115" i="4"/>
  <c r="H115" i="4"/>
  <c r="L115" i="4"/>
  <c r="E98" i="4"/>
  <c r="I98" i="4"/>
  <c r="M98" i="4"/>
  <c r="D99" i="4"/>
  <c r="E99" i="4"/>
  <c r="H99" i="4"/>
  <c r="I99" i="4"/>
  <c r="L99" i="4"/>
  <c r="M99" i="4"/>
  <c r="D100" i="4"/>
  <c r="H100" i="4"/>
  <c r="L100" i="4"/>
  <c r="E83" i="4"/>
  <c r="I83" i="4"/>
  <c r="M83" i="4"/>
  <c r="D84" i="4"/>
  <c r="E84" i="4"/>
  <c r="H84" i="4"/>
  <c r="I84" i="4"/>
  <c r="L84" i="4"/>
  <c r="M84" i="4"/>
  <c r="D85" i="4"/>
  <c r="H85" i="4"/>
  <c r="L85" i="4"/>
  <c r="H67" i="4"/>
  <c r="E68" i="4"/>
  <c r="I68" i="4"/>
  <c r="M68" i="4"/>
  <c r="D69" i="4"/>
  <c r="E69" i="4"/>
  <c r="H69" i="4"/>
  <c r="I69" i="4"/>
  <c r="L69" i="4"/>
  <c r="M69" i="4"/>
  <c r="D70" i="4"/>
  <c r="H70" i="4"/>
  <c r="L70" i="4"/>
  <c r="H52" i="4"/>
  <c r="D53" i="4"/>
  <c r="E53" i="4"/>
  <c r="H53" i="4"/>
  <c r="I53" i="4"/>
  <c r="L53" i="4"/>
  <c r="M53" i="4"/>
  <c r="H54" i="4"/>
  <c r="D55" i="4"/>
  <c r="E55" i="4"/>
  <c r="H55" i="4"/>
  <c r="I55" i="4"/>
  <c r="L55" i="4"/>
  <c r="M55" i="4"/>
  <c r="B54" i="4"/>
  <c r="D37" i="4"/>
  <c r="L37" i="4"/>
  <c r="E38" i="4"/>
  <c r="I38" i="4"/>
  <c r="M38" i="4"/>
  <c r="D39" i="4"/>
  <c r="E39" i="4"/>
  <c r="H39" i="4"/>
  <c r="I39" i="4"/>
  <c r="L39" i="4"/>
  <c r="M39" i="4"/>
  <c r="D40" i="4"/>
  <c r="H40" i="4"/>
  <c r="L40" i="4"/>
  <c r="B39" i="4"/>
  <c r="D22" i="4"/>
  <c r="H22" i="4"/>
  <c r="L22" i="4"/>
  <c r="E23" i="4"/>
  <c r="I23" i="4"/>
  <c r="M23" i="4"/>
  <c r="D24" i="4"/>
  <c r="E24" i="4"/>
  <c r="H24" i="4"/>
  <c r="I24" i="4"/>
  <c r="L24" i="4"/>
  <c r="M24" i="4"/>
  <c r="D25" i="4"/>
  <c r="H25" i="4"/>
  <c r="L25" i="4"/>
  <c r="D7" i="4"/>
  <c r="H7" i="4"/>
  <c r="L7" i="4"/>
  <c r="H8" i="4"/>
  <c r="E9" i="4"/>
  <c r="I9" i="4"/>
  <c r="M9" i="4"/>
  <c r="D10" i="4"/>
  <c r="E10" i="4"/>
  <c r="H10" i="4"/>
  <c r="I10" i="4"/>
  <c r="L10" i="4"/>
  <c r="M10" i="4"/>
  <c r="B9" i="4"/>
  <c r="J11" i="1"/>
  <c r="C22" i="8" s="1"/>
  <c r="D59" i="1"/>
  <c r="E59" i="1"/>
  <c r="F59" i="1"/>
  <c r="G59" i="1"/>
  <c r="H59" i="1"/>
  <c r="I59" i="1"/>
  <c r="B160" i="8" s="1"/>
  <c r="J59" i="1"/>
  <c r="C160" i="8" s="1"/>
  <c r="K59" i="1"/>
  <c r="D160" i="8" s="1"/>
  <c r="L59" i="1"/>
  <c r="M59" i="1"/>
  <c r="N59" i="1"/>
  <c r="G160" i="4" s="1"/>
  <c r="O59" i="1"/>
  <c r="P59" i="1"/>
  <c r="Q59" i="1"/>
  <c r="J160" i="8" s="1"/>
  <c r="R59" i="1"/>
  <c r="K160" i="4" s="1"/>
  <c r="S59" i="1"/>
  <c r="T59" i="1"/>
  <c r="U59" i="1"/>
  <c r="C59" i="1"/>
  <c r="D58" i="1"/>
  <c r="E58" i="1"/>
  <c r="F58" i="1"/>
  <c r="G58" i="1"/>
  <c r="H58" i="1"/>
  <c r="I58" i="1"/>
  <c r="J58" i="1"/>
  <c r="K58" i="1"/>
  <c r="D159" i="8" s="1"/>
  <c r="L58" i="1"/>
  <c r="M58" i="1"/>
  <c r="N58" i="1"/>
  <c r="O58" i="1"/>
  <c r="P58" i="1"/>
  <c r="Q58" i="1"/>
  <c r="R58" i="1"/>
  <c r="H159" i="6" s="1"/>
  <c r="S58" i="1"/>
  <c r="T58" i="1"/>
  <c r="U58" i="1"/>
  <c r="C58" i="1"/>
  <c r="D57" i="1"/>
  <c r="E57" i="1"/>
  <c r="F57" i="1"/>
  <c r="G57" i="1"/>
  <c r="H57" i="1"/>
  <c r="I57" i="1"/>
  <c r="B158" i="8" s="1"/>
  <c r="J57" i="1"/>
  <c r="K57" i="1"/>
  <c r="L57" i="1"/>
  <c r="M57" i="1"/>
  <c r="N57" i="1"/>
  <c r="O57" i="1"/>
  <c r="P57" i="1"/>
  <c r="F158" i="9" s="1"/>
  <c r="Q57" i="1"/>
  <c r="R57" i="1"/>
  <c r="S57" i="1"/>
  <c r="T57" i="1"/>
  <c r="J158" i="9" s="1"/>
  <c r="U57" i="1"/>
  <c r="C57" i="1"/>
  <c r="D56" i="1"/>
  <c r="E56" i="1"/>
  <c r="F56" i="1"/>
  <c r="G56" i="1"/>
  <c r="H56" i="1"/>
  <c r="I56" i="1"/>
  <c r="B157" i="8" s="1"/>
  <c r="J56" i="1"/>
  <c r="C157" i="4" s="1"/>
  <c r="K56" i="1"/>
  <c r="L56" i="1"/>
  <c r="M56" i="1"/>
  <c r="N56" i="1"/>
  <c r="O56" i="1"/>
  <c r="P56" i="1"/>
  <c r="Q56" i="1"/>
  <c r="R56" i="1"/>
  <c r="S56" i="1"/>
  <c r="T56" i="1"/>
  <c r="U56" i="1"/>
  <c r="C56" i="1"/>
  <c r="D54" i="1"/>
  <c r="E54" i="1"/>
  <c r="F54" i="1"/>
  <c r="G54" i="1"/>
  <c r="H54" i="1"/>
  <c r="I54" i="1"/>
  <c r="B145" i="8" s="1"/>
  <c r="J54" i="1"/>
  <c r="C145" i="8" s="1"/>
  <c r="K54" i="1"/>
  <c r="D145" i="8" s="1"/>
  <c r="L54" i="1"/>
  <c r="M54" i="1"/>
  <c r="N54" i="1"/>
  <c r="G145" i="4" s="1"/>
  <c r="O54" i="1"/>
  <c r="P54" i="1"/>
  <c r="Q54" i="1"/>
  <c r="R54" i="1"/>
  <c r="K145" i="4" s="1"/>
  <c r="S54" i="1"/>
  <c r="T54" i="1"/>
  <c r="U54" i="1"/>
  <c r="C54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F144" i="9" s="1"/>
  <c r="Q53" i="1"/>
  <c r="R53" i="1"/>
  <c r="S53" i="1"/>
  <c r="T53" i="1"/>
  <c r="J144" i="9" s="1"/>
  <c r="U53" i="1"/>
  <c r="C53" i="1"/>
  <c r="D52" i="1"/>
  <c r="E52" i="1"/>
  <c r="F52" i="1"/>
  <c r="G52" i="1"/>
  <c r="H52" i="1"/>
  <c r="I52" i="1"/>
  <c r="B143" i="8" s="1"/>
  <c r="J52" i="1"/>
  <c r="K52" i="1"/>
  <c r="L52" i="1"/>
  <c r="M52" i="1"/>
  <c r="N52" i="1"/>
  <c r="O52" i="1"/>
  <c r="P52" i="1"/>
  <c r="Q52" i="1"/>
  <c r="R52" i="1"/>
  <c r="S52" i="1"/>
  <c r="T52" i="1"/>
  <c r="U52" i="1"/>
  <c r="C52" i="1"/>
  <c r="D51" i="1"/>
  <c r="E51" i="1"/>
  <c r="F51" i="1"/>
  <c r="G51" i="1"/>
  <c r="H51" i="1"/>
  <c r="I51" i="1"/>
  <c r="B142" i="8" s="1"/>
  <c r="J51" i="1"/>
  <c r="C142" i="8" s="1"/>
  <c r="K51" i="1"/>
  <c r="L51" i="1"/>
  <c r="M51" i="1"/>
  <c r="N51" i="1"/>
  <c r="O51" i="1"/>
  <c r="P51" i="1"/>
  <c r="Q51" i="1"/>
  <c r="R51" i="1"/>
  <c r="S51" i="1"/>
  <c r="T51" i="1"/>
  <c r="U51" i="1"/>
  <c r="C51" i="1"/>
  <c r="D49" i="1"/>
  <c r="E49" i="1"/>
  <c r="F49" i="1"/>
  <c r="G49" i="1"/>
  <c r="H49" i="1"/>
  <c r="I49" i="1"/>
  <c r="B130" i="8" s="1"/>
  <c r="J49" i="1"/>
  <c r="C130" i="4" s="1"/>
  <c r="K49" i="1"/>
  <c r="D130" i="8" s="1"/>
  <c r="L49" i="1"/>
  <c r="M49" i="1"/>
  <c r="N49" i="1"/>
  <c r="D130" i="9" s="1"/>
  <c r="O49" i="1"/>
  <c r="P49" i="1"/>
  <c r="Q49" i="1"/>
  <c r="R49" i="1"/>
  <c r="K130" i="4" s="1"/>
  <c r="S49" i="1"/>
  <c r="T49" i="1"/>
  <c r="U49" i="1"/>
  <c r="C49" i="1"/>
  <c r="D48" i="1"/>
  <c r="E48" i="1"/>
  <c r="F48" i="1"/>
  <c r="G48" i="1"/>
  <c r="H48" i="1"/>
  <c r="I48" i="1"/>
  <c r="J48" i="1"/>
  <c r="K48" i="1"/>
  <c r="L48" i="1"/>
  <c r="M48" i="1"/>
  <c r="N48" i="1"/>
  <c r="G129" i="8" s="1"/>
  <c r="O48" i="1"/>
  <c r="P48" i="1"/>
  <c r="Q48" i="1"/>
  <c r="R48" i="1"/>
  <c r="S48" i="1"/>
  <c r="T48" i="1"/>
  <c r="U48" i="1"/>
  <c r="C48" i="1"/>
  <c r="D47" i="1"/>
  <c r="E47" i="1"/>
  <c r="F47" i="1"/>
  <c r="G47" i="1"/>
  <c r="H47" i="1"/>
  <c r="I47" i="1"/>
  <c r="B128" i="8" s="1"/>
  <c r="J47" i="1"/>
  <c r="C128" i="4" s="1"/>
  <c r="K47" i="1"/>
  <c r="L47" i="1"/>
  <c r="M47" i="1"/>
  <c r="N47" i="1"/>
  <c r="O47" i="1"/>
  <c r="P47" i="1"/>
  <c r="Q47" i="1"/>
  <c r="R47" i="1"/>
  <c r="S47" i="1"/>
  <c r="T47" i="1"/>
  <c r="U47" i="1"/>
  <c r="C47" i="1"/>
  <c r="D46" i="1"/>
  <c r="E46" i="1"/>
  <c r="F46" i="1"/>
  <c r="G46" i="1"/>
  <c r="H46" i="1"/>
  <c r="I46" i="1"/>
  <c r="B127" i="8" s="1"/>
  <c r="J46" i="1"/>
  <c r="C127" i="8" s="1"/>
  <c r="K46" i="1"/>
  <c r="L46" i="1"/>
  <c r="M46" i="1"/>
  <c r="N46" i="1"/>
  <c r="O46" i="1"/>
  <c r="P46" i="1"/>
  <c r="Q46" i="1"/>
  <c r="R46" i="1"/>
  <c r="H127" i="9" s="1"/>
  <c r="S46" i="1"/>
  <c r="T46" i="1"/>
  <c r="M127" i="4" s="1"/>
  <c r="U46" i="1"/>
  <c r="C46" i="1"/>
  <c r="D44" i="1"/>
  <c r="E44" i="1"/>
  <c r="F44" i="1"/>
  <c r="G44" i="1"/>
  <c r="H44" i="1"/>
  <c r="I44" i="1"/>
  <c r="B115" i="8" s="1"/>
  <c r="J44" i="1"/>
  <c r="C115" i="8" s="1"/>
  <c r="K44" i="1"/>
  <c r="D115" i="8" s="1"/>
  <c r="L44" i="1"/>
  <c r="M44" i="1"/>
  <c r="N44" i="1"/>
  <c r="D115" i="9" s="1"/>
  <c r="O44" i="1"/>
  <c r="P44" i="1"/>
  <c r="Q44" i="1"/>
  <c r="R44" i="1"/>
  <c r="K115" i="4" s="1"/>
  <c r="S44" i="1"/>
  <c r="T44" i="1"/>
  <c r="U44" i="1"/>
  <c r="C44" i="1"/>
  <c r="D43" i="1"/>
  <c r="E43" i="1"/>
  <c r="F43" i="1"/>
  <c r="G43" i="1"/>
  <c r="H43" i="1"/>
  <c r="I43" i="1"/>
  <c r="J43" i="1"/>
  <c r="K43" i="1"/>
  <c r="D114" i="8" s="1"/>
  <c r="L43" i="1"/>
  <c r="M43" i="1"/>
  <c r="N43" i="1"/>
  <c r="O43" i="1"/>
  <c r="P43" i="1"/>
  <c r="Q43" i="1"/>
  <c r="R43" i="1"/>
  <c r="S43" i="1"/>
  <c r="T43" i="1"/>
  <c r="U43" i="1"/>
  <c r="C43" i="1"/>
  <c r="D42" i="1"/>
  <c r="E42" i="1"/>
  <c r="F42" i="1"/>
  <c r="G42" i="1"/>
  <c r="H42" i="1"/>
  <c r="I42" i="1"/>
  <c r="B113" i="4" s="1"/>
  <c r="J42" i="1"/>
  <c r="K42" i="1"/>
  <c r="L42" i="1"/>
  <c r="M42" i="1"/>
  <c r="N42" i="1"/>
  <c r="O42" i="1"/>
  <c r="P42" i="1"/>
  <c r="Q42" i="1"/>
  <c r="G113" i="9" s="1"/>
  <c r="R42" i="1"/>
  <c r="S42" i="1"/>
  <c r="T42" i="1"/>
  <c r="U42" i="1"/>
  <c r="C42" i="1"/>
  <c r="D41" i="1"/>
  <c r="E41" i="1"/>
  <c r="F41" i="1"/>
  <c r="G41" i="1"/>
  <c r="H41" i="1"/>
  <c r="I41" i="1"/>
  <c r="B112" i="4" s="1"/>
  <c r="J41" i="1"/>
  <c r="C112" i="4" s="1"/>
  <c r="K41" i="1"/>
  <c r="L41" i="1"/>
  <c r="M41" i="1"/>
  <c r="N41" i="1"/>
  <c r="O41" i="1"/>
  <c r="P41" i="1"/>
  <c r="Q41" i="1"/>
  <c r="G112" i="9" s="1"/>
  <c r="R41" i="1"/>
  <c r="S41" i="1"/>
  <c r="T41" i="1"/>
  <c r="U41" i="1"/>
  <c r="C41" i="1"/>
  <c r="D39" i="1"/>
  <c r="E39" i="1"/>
  <c r="F39" i="1"/>
  <c r="G39" i="1"/>
  <c r="H39" i="1"/>
  <c r="I39" i="1"/>
  <c r="B100" i="8" s="1"/>
  <c r="J39" i="1"/>
  <c r="C100" i="8" s="1"/>
  <c r="K39" i="1"/>
  <c r="D100" i="8" s="1"/>
  <c r="L39" i="1"/>
  <c r="M39" i="1"/>
  <c r="N39" i="1"/>
  <c r="G100" i="4" s="1"/>
  <c r="O39" i="1"/>
  <c r="P39" i="1"/>
  <c r="I100" i="8" s="1"/>
  <c r="Q39" i="1"/>
  <c r="R39" i="1"/>
  <c r="K100" i="4" s="1"/>
  <c r="S39" i="1"/>
  <c r="T39" i="1"/>
  <c r="U39" i="1"/>
  <c r="C39" i="1"/>
  <c r="D38" i="1"/>
  <c r="E38" i="1"/>
  <c r="F38" i="1"/>
  <c r="G38" i="1"/>
  <c r="H38" i="1"/>
  <c r="I38" i="1"/>
  <c r="J38" i="1"/>
  <c r="K38" i="1"/>
  <c r="D99" i="8" s="1"/>
  <c r="L38" i="1"/>
  <c r="M38" i="1"/>
  <c r="N38" i="1"/>
  <c r="O38" i="1"/>
  <c r="P38" i="1"/>
  <c r="Q38" i="1"/>
  <c r="R38" i="1"/>
  <c r="S38" i="1"/>
  <c r="T38" i="1"/>
  <c r="J99" i="9" s="1"/>
  <c r="U38" i="1"/>
  <c r="C38" i="1"/>
  <c r="D37" i="1"/>
  <c r="E37" i="1"/>
  <c r="F37" i="1"/>
  <c r="G37" i="1"/>
  <c r="H37" i="1"/>
  <c r="I37" i="1"/>
  <c r="B98" i="8" s="1"/>
  <c r="J37" i="1"/>
  <c r="K37" i="1"/>
  <c r="L37" i="1"/>
  <c r="E98" i="8" s="1"/>
  <c r="M37" i="1"/>
  <c r="C98" i="9" s="1"/>
  <c r="N37" i="1"/>
  <c r="O37" i="1"/>
  <c r="P37" i="1"/>
  <c r="Q37" i="1"/>
  <c r="R37" i="1"/>
  <c r="S37" i="1"/>
  <c r="T37" i="1"/>
  <c r="J98" i="9" s="1"/>
  <c r="U37" i="1"/>
  <c r="K98" i="9" s="1"/>
  <c r="C37" i="1"/>
  <c r="D36" i="1"/>
  <c r="E36" i="1"/>
  <c r="F36" i="1"/>
  <c r="G36" i="1"/>
  <c r="H36" i="1"/>
  <c r="I36" i="1"/>
  <c r="B97" i="8" s="1"/>
  <c r="J36" i="1"/>
  <c r="C97" i="8" s="1"/>
  <c r="K36" i="1"/>
  <c r="L36" i="1"/>
  <c r="E97" i="8" s="1"/>
  <c r="M36" i="1"/>
  <c r="C97" i="9" s="1"/>
  <c r="N36" i="1"/>
  <c r="O36" i="1"/>
  <c r="P36" i="1"/>
  <c r="Q36" i="1"/>
  <c r="R36" i="1"/>
  <c r="S36" i="1"/>
  <c r="T36" i="1"/>
  <c r="M97" i="4" s="1"/>
  <c r="U36" i="1"/>
  <c r="K97" i="9" s="1"/>
  <c r="C36" i="1"/>
  <c r="D34" i="1"/>
  <c r="E34" i="1"/>
  <c r="F34" i="1"/>
  <c r="G34" i="1"/>
  <c r="H34" i="1"/>
  <c r="I34" i="1"/>
  <c r="B85" i="8" s="1"/>
  <c r="J34" i="1"/>
  <c r="C85" i="8" s="1"/>
  <c r="K34" i="1"/>
  <c r="L34" i="1"/>
  <c r="M34" i="1"/>
  <c r="N34" i="1"/>
  <c r="G85" i="4" s="1"/>
  <c r="O34" i="1"/>
  <c r="E85" i="9" s="1"/>
  <c r="P34" i="1"/>
  <c r="Q34" i="1"/>
  <c r="G85" i="9" s="1"/>
  <c r="R34" i="1"/>
  <c r="K85" i="4" s="1"/>
  <c r="S34" i="1"/>
  <c r="T34" i="1"/>
  <c r="U34" i="1"/>
  <c r="C34" i="1"/>
  <c r="D33" i="1"/>
  <c r="E33" i="1"/>
  <c r="F33" i="1"/>
  <c r="G33" i="1"/>
  <c r="H33" i="1"/>
  <c r="I33" i="1"/>
  <c r="B84" i="8" s="1"/>
  <c r="J33" i="1"/>
  <c r="K33" i="1"/>
  <c r="D84" i="8" s="1"/>
  <c r="L33" i="1"/>
  <c r="B84" i="9" s="1"/>
  <c r="M33" i="1"/>
  <c r="N33" i="1"/>
  <c r="O33" i="1"/>
  <c r="E84" i="9" s="1"/>
  <c r="P33" i="1"/>
  <c r="F84" i="9" s="1"/>
  <c r="Q33" i="1"/>
  <c r="R33" i="1"/>
  <c r="S33" i="1"/>
  <c r="T33" i="1"/>
  <c r="U33" i="1"/>
  <c r="C33" i="1"/>
  <c r="D32" i="1"/>
  <c r="E32" i="1"/>
  <c r="F32" i="1"/>
  <c r="G32" i="1"/>
  <c r="H32" i="1"/>
  <c r="I32" i="1"/>
  <c r="B83" i="8" s="1"/>
  <c r="J32" i="1"/>
  <c r="K32" i="1"/>
  <c r="L32" i="1"/>
  <c r="B83" i="9" s="1"/>
  <c r="M32" i="1"/>
  <c r="N32" i="1"/>
  <c r="O32" i="1"/>
  <c r="P32" i="1"/>
  <c r="F83" i="9" s="1"/>
  <c r="Q32" i="1"/>
  <c r="R32" i="1"/>
  <c r="S32" i="1"/>
  <c r="T32" i="1"/>
  <c r="U32" i="1"/>
  <c r="C32" i="1"/>
  <c r="D31" i="1"/>
  <c r="E31" i="1"/>
  <c r="F31" i="1"/>
  <c r="G31" i="1"/>
  <c r="H31" i="1"/>
  <c r="I31" i="1"/>
  <c r="B82" i="8" s="1"/>
  <c r="J31" i="1"/>
  <c r="C82" i="8" s="1"/>
  <c r="K31" i="1"/>
  <c r="L31" i="1"/>
  <c r="E82" i="4" s="1"/>
  <c r="M31" i="1"/>
  <c r="N31" i="1"/>
  <c r="O31" i="1"/>
  <c r="P31" i="1"/>
  <c r="I82" i="8" s="1"/>
  <c r="Q31" i="1"/>
  <c r="R31" i="1"/>
  <c r="S31" i="1"/>
  <c r="T31" i="1"/>
  <c r="U31" i="1"/>
  <c r="C31" i="1"/>
  <c r="D29" i="1"/>
  <c r="E29" i="1"/>
  <c r="F29" i="1"/>
  <c r="G29" i="1"/>
  <c r="H29" i="1"/>
  <c r="I29" i="1"/>
  <c r="B70" i="8" s="1"/>
  <c r="J29" i="1"/>
  <c r="C70" i="4" s="1"/>
  <c r="K29" i="1"/>
  <c r="D70" i="8" s="1"/>
  <c r="L29" i="1"/>
  <c r="M29" i="1"/>
  <c r="N29" i="1"/>
  <c r="G70" i="8" s="1"/>
  <c r="O29" i="1"/>
  <c r="P29" i="1"/>
  <c r="I70" i="4" s="1"/>
  <c r="Q29" i="1"/>
  <c r="R29" i="1"/>
  <c r="H70" i="9" s="1"/>
  <c r="S29" i="1"/>
  <c r="I70" i="9" s="1"/>
  <c r="T29" i="1"/>
  <c r="U29" i="1"/>
  <c r="C29" i="1"/>
  <c r="D28" i="1"/>
  <c r="E28" i="1"/>
  <c r="F28" i="1"/>
  <c r="G28" i="1"/>
  <c r="H28" i="1"/>
  <c r="I28" i="1"/>
  <c r="B69" i="8" s="1"/>
  <c r="J28" i="1"/>
  <c r="K28" i="1"/>
  <c r="L28" i="1"/>
  <c r="M28" i="1"/>
  <c r="N28" i="1"/>
  <c r="O28" i="1"/>
  <c r="P28" i="1"/>
  <c r="Q28" i="1"/>
  <c r="R28" i="1"/>
  <c r="S28" i="1"/>
  <c r="I69" i="9" s="1"/>
  <c r="T28" i="1"/>
  <c r="U28" i="1"/>
  <c r="C28" i="1"/>
  <c r="D27" i="1"/>
  <c r="E27" i="1"/>
  <c r="F27" i="1"/>
  <c r="G27" i="1"/>
  <c r="H27" i="1"/>
  <c r="I27" i="1"/>
  <c r="B68" i="8" s="1"/>
  <c r="J27" i="1"/>
  <c r="C68" i="4" s="1"/>
  <c r="K27" i="1"/>
  <c r="D68" i="8" s="1"/>
  <c r="L27" i="1"/>
  <c r="M27" i="1"/>
  <c r="F68" i="8" s="1"/>
  <c r="N27" i="1"/>
  <c r="O27" i="1"/>
  <c r="H68" i="4" s="1"/>
  <c r="P27" i="1"/>
  <c r="Q27" i="1"/>
  <c r="R27" i="1"/>
  <c r="S27" i="1"/>
  <c r="T27" i="1"/>
  <c r="J68" i="6" s="1"/>
  <c r="U27" i="1"/>
  <c r="C27" i="1"/>
  <c r="D26" i="1"/>
  <c r="E26" i="1"/>
  <c r="F26" i="1"/>
  <c r="G26" i="1"/>
  <c r="H26" i="1"/>
  <c r="I26" i="1"/>
  <c r="B67" i="8" s="1"/>
  <c r="J26" i="1"/>
  <c r="C67" i="8" s="1"/>
  <c r="K26" i="1"/>
  <c r="D67" i="8" s="1"/>
  <c r="L26" i="1"/>
  <c r="M26" i="1"/>
  <c r="C67" i="6" s="1"/>
  <c r="N26" i="1"/>
  <c r="D67" i="9" s="1"/>
  <c r="O26" i="1"/>
  <c r="P26" i="1"/>
  <c r="Q26" i="1"/>
  <c r="R26" i="1"/>
  <c r="S26" i="1"/>
  <c r="T26" i="1"/>
  <c r="M67" i="4" s="1"/>
  <c r="U26" i="1"/>
  <c r="C26" i="1"/>
  <c r="D19" i="1"/>
  <c r="E19" i="1"/>
  <c r="F19" i="1"/>
  <c r="G19" i="1"/>
  <c r="H19" i="1"/>
  <c r="I19" i="1"/>
  <c r="B40" i="8" s="1"/>
  <c r="J19" i="1"/>
  <c r="C40" i="4" s="1"/>
  <c r="K19" i="1"/>
  <c r="D40" i="8" s="1"/>
  <c r="L19" i="1"/>
  <c r="E40" i="4" s="1"/>
  <c r="M19" i="1"/>
  <c r="N19" i="1"/>
  <c r="G40" i="4" s="1"/>
  <c r="O19" i="1"/>
  <c r="P19" i="1"/>
  <c r="Q19" i="1"/>
  <c r="R19" i="1"/>
  <c r="H40" i="9" s="1"/>
  <c r="S19" i="1"/>
  <c r="I40" i="9" s="1"/>
  <c r="T19" i="1"/>
  <c r="U19" i="1"/>
  <c r="C19" i="1"/>
  <c r="D18" i="1"/>
  <c r="E18" i="1"/>
  <c r="F18" i="1"/>
  <c r="G18" i="1"/>
  <c r="H18" i="1"/>
  <c r="I18" i="1"/>
  <c r="B39" i="8" s="1"/>
  <c r="J18" i="1"/>
  <c r="C39" i="4" s="1"/>
  <c r="K18" i="1"/>
  <c r="D39" i="8" s="1"/>
  <c r="L18" i="1"/>
  <c r="M18" i="1"/>
  <c r="N18" i="1"/>
  <c r="O18" i="1"/>
  <c r="P18" i="1"/>
  <c r="Q18" i="1"/>
  <c r="R18" i="1"/>
  <c r="K39" i="8" s="1"/>
  <c r="S18" i="1"/>
  <c r="I39" i="9" s="1"/>
  <c r="T18" i="1"/>
  <c r="J39" i="9" s="1"/>
  <c r="U18" i="1"/>
  <c r="C18" i="1"/>
  <c r="D17" i="1"/>
  <c r="E17" i="1"/>
  <c r="F17" i="1"/>
  <c r="G17" i="1"/>
  <c r="H17" i="1"/>
  <c r="I17" i="1"/>
  <c r="B38" i="4" s="1"/>
  <c r="J17" i="1"/>
  <c r="C38" i="4" s="1"/>
  <c r="K17" i="1"/>
  <c r="D38" i="8" s="1"/>
  <c r="L17" i="1"/>
  <c r="E38" i="8" s="1"/>
  <c r="M17" i="1"/>
  <c r="C38" i="9" s="1"/>
  <c r="N17" i="1"/>
  <c r="O17" i="1"/>
  <c r="H38" i="4" s="1"/>
  <c r="P17" i="1"/>
  <c r="I38" i="8" s="1"/>
  <c r="Q17" i="1"/>
  <c r="R17" i="1"/>
  <c r="K38" i="8" s="1"/>
  <c r="S17" i="1"/>
  <c r="L38" i="4" s="1"/>
  <c r="T17" i="1"/>
  <c r="J38" i="9" s="1"/>
  <c r="U17" i="1"/>
  <c r="K38" i="9" s="1"/>
  <c r="C21" i="1"/>
  <c r="C22" i="1"/>
  <c r="C23" i="1"/>
  <c r="C24" i="1"/>
  <c r="C17" i="1"/>
  <c r="D16" i="1"/>
  <c r="E16" i="1"/>
  <c r="F16" i="1"/>
  <c r="G16" i="1"/>
  <c r="H16" i="1"/>
  <c r="I16" i="1"/>
  <c r="B37" i="4" s="1"/>
  <c r="J16" i="1"/>
  <c r="C37" i="4" s="1"/>
  <c r="K16" i="1"/>
  <c r="D37" i="8" s="1"/>
  <c r="L16" i="1"/>
  <c r="M16" i="1"/>
  <c r="C37" i="9" s="1"/>
  <c r="N16" i="1"/>
  <c r="D37" i="9" s="1"/>
  <c r="O16" i="1"/>
  <c r="H37" i="4" s="1"/>
  <c r="P16" i="1"/>
  <c r="I37" i="4" s="1"/>
  <c r="Q16" i="1"/>
  <c r="R16" i="1"/>
  <c r="S16" i="1"/>
  <c r="T16" i="1"/>
  <c r="U16" i="1"/>
  <c r="K37" i="9" s="1"/>
  <c r="C16" i="1"/>
  <c r="D14" i="1"/>
  <c r="E14" i="1"/>
  <c r="F14" i="1"/>
  <c r="G14" i="1"/>
  <c r="H14" i="1"/>
  <c r="I14" i="1"/>
  <c r="B25" i="8" s="1"/>
  <c r="J14" i="1"/>
  <c r="C25" i="8" s="1"/>
  <c r="K14" i="1"/>
  <c r="D25" i="8" s="1"/>
  <c r="L14" i="1"/>
  <c r="M14" i="1"/>
  <c r="N14" i="1"/>
  <c r="D25" i="9" s="1"/>
  <c r="O14" i="1"/>
  <c r="E25" i="9" s="1"/>
  <c r="P14" i="1"/>
  <c r="I25" i="4" s="1"/>
  <c r="Q14" i="1"/>
  <c r="J25" i="8" s="1"/>
  <c r="R14" i="1"/>
  <c r="K25" i="4" s="1"/>
  <c r="S14" i="1"/>
  <c r="T14" i="1"/>
  <c r="U14" i="1"/>
  <c r="C14" i="1"/>
  <c r="D13" i="1"/>
  <c r="E13" i="1"/>
  <c r="F13" i="1"/>
  <c r="G13" i="1"/>
  <c r="H13" i="1"/>
  <c r="I13" i="1"/>
  <c r="B24" i="8" s="1"/>
  <c r="J13" i="1"/>
  <c r="K13" i="1"/>
  <c r="D24" i="8" s="1"/>
  <c r="L13" i="1"/>
  <c r="B24" i="9" s="1"/>
  <c r="M13" i="1"/>
  <c r="N13" i="1"/>
  <c r="O13" i="1"/>
  <c r="E24" i="9" s="1"/>
  <c r="P13" i="1"/>
  <c r="F24" i="9" s="1"/>
  <c r="Q13" i="1"/>
  <c r="J24" i="8" s="1"/>
  <c r="R13" i="1"/>
  <c r="H24" i="9" s="1"/>
  <c r="S13" i="1"/>
  <c r="L24" i="8" s="1"/>
  <c r="T13" i="1"/>
  <c r="U13" i="1"/>
  <c r="C13" i="1"/>
  <c r="D12" i="1"/>
  <c r="E12" i="1"/>
  <c r="F12" i="1"/>
  <c r="G12" i="1"/>
  <c r="H12" i="1"/>
  <c r="I12" i="1"/>
  <c r="B23" i="8" s="1"/>
  <c r="J12" i="1"/>
  <c r="K12" i="1"/>
  <c r="D23" i="8" s="1"/>
  <c r="L12" i="1"/>
  <c r="B23" i="9" s="1"/>
  <c r="M12" i="1"/>
  <c r="N12" i="1"/>
  <c r="O12" i="1"/>
  <c r="H23" i="4" s="1"/>
  <c r="P12" i="1"/>
  <c r="F23" i="9" s="1"/>
  <c r="Q12" i="1"/>
  <c r="G23" i="9" s="1"/>
  <c r="R12" i="1"/>
  <c r="S12" i="1"/>
  <c r="T12" i="1"/>
  <c r="U12" i="1"/>
  <c r="C12" i="1"/>
  <c r="D11" i="1"/>
  <c r="E11" i="1"/>
  <c r="F11" i="1"/>
  <c r="G11" i="1"/>
  <c r="H11" i="1"/>
  <c r="I11" i="1"/>
  <c r="B22" i="4" s="1"/>
  <c r="K11" i="1"/>
  <c r="D22" i="8" s="1"/>
  <c r="L11" i="1"/>
  <c r="M11" i="1"/>
  <c r="N11" i="1"/>
  <c r="G22" i="4" s="1"/>
  <c r="O11" i="1"/>
  <c r="E22" i="6" s="1"/>
  <c r="P11" i="1"/>
  <c r="Q11" i="1"/>
  <c r="J22" i="8" s="1"/>
  <c r="R11" i="1"/>
  <c r="H22" i="9" s="1"/>
  <c r="S11" i="1"/>
  <c r="T11" i="1"/>
  <c r="M22" i="4" s="1"/>
  <c r="U11" i="1"/>
  <c r="C11" i="1"/>
  <c r="D9" i="1"/>
  <c r="E9" i="1"/>
  <c r="F9" i="1"/>
  <c r="G9" i="1"/>
  <c r="H9" i="1"/>
  <c r="I9" i="1"/>
  <c r="B10" i="8" s="1"/>
  <c r="J9" i="1"/>
  <c r="K9" i="1"/>
  <c r="L9" i="1"/>
  <c r="M9" i="1"/>
  <c r="N9" i="1"/>
  <c r="O9" i="1"/>
  <c r="E10" i="6" s="1"/>
  <c r="P9" i="1"/>
  <c r="Q9" i="1"/>
  <c r="R9" i="1"/>
  <c r="S9" i="1"/>
  <c r="I10" i="9" s="1"/>
  <c r="T9" i="1"/>
  <c r="U9" i="1"/>
  <c r="C9" i="1"/>
  <c r="D8" i="1"/>
  <c r="E8" i="1"/>
  <c r="F8" i="1"/>
  <c r="G8" i="1"/>
  <c r="H8" i="1"/>
  <c r="I8" i="1"/>
  <c r="J8" i="1"/>
  <c r="K8" i="1"/>
  <c r="D9" i="4" s="1"/>
  <c r="L8" i="1"/>
  <c r="M8" i="1"/>
  <c r="N8" i="1"/>
  <c r="O8" i="1"/>
  <c r="P8" i="1"/>
  <c r="Q8" i="1"/>
  <c r="R8" i="1"/>
  <c r="S8" i="1"/>
  <c r="L9" i="8" s="1"/>
  <c r="T8" i="1"/>
  <c r="J9" i="9" s="1"/>
  <c r="U8" i="1"/>
  <c r="C8" i="1"/>
  <c r="D7" i="1"/>
  <c r="E7" i="1"/>
  <c r="F7" i="1"/>
  <c r="G7" i="1"/>
  <c r="H7" i="1"/>
  <c r="I7" i="1"/>
  <c r="B8" i="4" s="1"/>
  <c r="J7" i="1"/>
  <c r="C8" i="4" s="1"/>
  <c r="K7" i="1"/>
  <c r="D8" i="8" s="1"/>
  <c r="L7" i="1"/>
  <c r="E8" i="4" s="1"/>
  <c r="M7" i="1"/>
  <c r="F8" i="4" s="1"/>
  <c r="N7" i="1"/>
  <c r="O7" i="1"/>
  <c r="H8" i="8" s="1"/>
  <c r="P7" i="1"/>
  <c r="Q7" i="1"/>
  <c r="J8" i="8" s="1"/>
  <c r="R7" i="1"/>
  <c r="S7" i="1"/>
  <c r="T7" i="1"/>
  <c r="U7" i="1"/>
  <c r="K8" i="9" s="1"/>
  <c r="C7" i="1"/>
  <c r="D6" i="1"/>
  <c r="E6" i="1"/>
  <c r="F6" i="1"/>
  <c r="G6" i="1"/>
  <c r="H6" i="1"/>
  <c r="I6" i="1"/>
  <c r="J6" i="1"/>
  <c r="C7" i="4" s="1"/>
  <c r="K6" i="1"/>
  <c r="L6" i="1"/>
  <c r="M6" i="1"/>
  <c r="N6" i="1"/>
  <c r="D7" i="9" s="1"/>
  <c r="O6" i="1"/>
  <c r="P6" i="1"/>
  <c r="I7" i="4" s="1"/>
  <c r="Q6" i="1"/>
  <c r="R6" i="1"/>
  <c r="K7" i="4" s="1"/>
  <c r="S6" i="1"/>
  <c r="T6" i="1"/>
  <c r="U6" i="1"/>
  <c r="C6" i="1"/>
  <c r="D24" i="1"/>
  <c r="E24" i="1"/>
  <c r="F24" i="1"/>
  <c r="G24" i="1"/>
  <c r="H24" i="1"/>
  <c r="I24" i="1"/>
  <c r="B55" i="8" s="1"/>
  <c r="J24" i="1"/>
  <c r="K24" i="1"/>
  <c r="L24" i="1"/>
  <c r="M24" i="1"/>
  <c r="N24" i="1"/>
  <c r="O24" i="1"/>
  <c r="E55" i="9" s="1"/>
  <c r="P24" i="1"/>
  <c r="Q24" i="1"/>
  <c r="R24" i="1"/>
  <c r="S24" i="1"/>
  <c r="T24" i="1"/>
  <c r="U24" i="1"/>
  <c r="D23" i="1"/>
  <c r="E23" i="1"/>
  <c r="F23" i="1"/>
  <c r="G23" i="1"/>
  <c r="H23" i="1"/>
  <c r="I23" i="1"/>
  <c r="J23" i="1"/>
  <c r="C54" i="8" s="1"/>
  <c r="K23" i="1"/>
  <c r="D54" i="8" s="1"/>
  <c r="L23" i="1"/>
  <c r="B54" i="6" s="1"/>
  <c r="M23" i="1"/>
  <c r="F54" i="8" s="1"/>
  <c r="N23" i="1"/>
  <c r="O23" i="1"/>
  <c r="P23" i="1"/>
  <c r="Q23" i="1"/>
  <c r="J54" i="8" s="1"/>
  <c r="R23" i="1"/>
  <c r="K54" i="8" s="1"/>
  <c r="S23" i="1"/>
  <c r="T23" i="1"/>
  <c r="U23" i="1"/>
  <c r="N54" i="8" s="1"/>
  <c r="D22" i="1"/>
  <c r="E22" i="1"/>
  <c r="F22" i="1"/>
  <c r="G22" i="1"/>
  <c r="H22" i="1"/>
  <c r="I22" i="1"/>
  <c r="J22" i="1"/>
  <c r="C53" i="4" s="1"/>
  <c r="K22" i="1"/>
  <c r="D53" i="8" s="1"/>
  <c r="L22" i="1"/>
  <c r="B53" i="9" s="1"/>
  <c r="M22" i="1"/>
  <c r="N22" i="1"/>
  <c r="O22" i="1"/>
  <c r="P22" i="1"/>
  <c r="F53" i="9" s="1"/>
  <c r="Q22" i="1"/>
  <c r="R22" i="1"/>
  <c r="S22" i="1"/>
  <c r="T22" i="1"/>
  <c r="M53" i="8" s="1"/>
  <c r="U22" i="1"/>
  <c r="D21" i="1"/>
  <c r="E21" i="1"/>
  <c r="F21" i="1"/>
  <c r="G21" i="1"/>
  <c r="H21" i="1"/>
  <c r="I21" i="1"/>
  <c r="B52" i="4" s="1"/>
  <c r="J21" i="1"/>
  <c r="C52" i="4" s="1"/>
  <c r="K21" i="1"/>
  <c r="D52" i="8" s="1"/>
  <c r="L21" i="1"/>
  <c r="E52" i="4" s="1"/>
  <c r="M21" i="1"/>
  <c r="N21" i="1"/>
  <c r="O21" i="1"/>
  <c r="P21" i="1"/>
  <c r="Q21" i="1"/>
  <c r="G52" i="9" s="1"/>
  <c r="R21" i="1"/>
  <c r="H52" i="9" s="1"/>
  <c r="S21" i="1"/>
  <c r="L52" i="4" s="1"/>
  <c r="T21" i="1"/>
  <c r="M52" i="4" s="1"/>
  <c r="U21" i="1"/>
  <c r="N52" i="8" s="1"/>
  <c r="W41" i="17"/>
  <c r="W40" i="17"/>
  <c r="F52" i="9" l="1"/>
  <c r="F52" i="6"/>
  <c r="I52" i="8"/>
  <c r="D53" i="9"/>
  <c r="D53" i="6"/>
  <c r="G53" i="4"/>
  <c r="G53" i="8"/>
  <c r="J54" i="9"/>
  <c r="J54" i="6"/>
  <c r="M54" i="8"/>
  <c r="D55" i="9"/>
  <c r="D55" i="6"/>
  <c r="G55" i="4"/>
  <c r="G55" i="8"/>
  <c r="K7" i="6"/>
  <c r="N7" i="4"/>
  <c r="N7" i="8"/>
  <c r="K7" i="9"/>
  <c r="B7" i="4"/>
  <c r="B7" i="8"/>
  <c r="J8" i="9"/>
  <c r="M8" i="8"/>
  <c r="J8" i="6"/>
  <c r="E9" i="6"/>
  <c r="E9" i="9"/>
  <c r="C10" i="4"/>
  <c r="C10" i="8"/>
  <c r="O10" i="8" s="1"/>
  <c r="C22" i="9"/>
  <c r="C22" i="6"/>
  <c r="F22" i="4"/>
  <c r="C24" i="8"/>
  <c r="C24" i="4"/>
  <c r="K25" i="9"/>
  <c r="K25" i="6"/>
  <c r="N25" i="4"/>
  <c r="C25" i="9"/>
  <c r="C25" i="6"/>
  <c r="F25" i="4"/>
  <c r="J37" i="6"/>
  <c r="J37" i="9"/>
  <c r="M37" i="8"/>
  <c r="D39" i="9"/>
  <c r="D39" i="6"/>
  <c r="G39" i="4"/>
  <c r="G40" i="9"/>
  <c r="G40" i="6"/>
  <c r="J40" i="4"/>
  <c r="J40" i="8"/>
  <c r="B67" i="9"/>
  <c r="B67" i="6"/>
  <c r="E67" i="8"/>
  <c r="O67" i="8" s="1"/>
  <c r="C69" i="8"/>
  <c r="O69" i="8" s="1"/>
  <c r="C69" i="4"/>
  <c r="K70" i="9"/>
  <c r="K70" i="6"/>
  <c r="N70" i="8"/>
  <c r="N70" i="4"/>
  <c r="C70" i="9"/>
  <c r="C70" i="6"/>
  <c r="F70" i="8"/>
  <c r="F70" i="4"/>
  <c r="J82" i="9"/>
  <c r="J82" i="6"/>
  <c r="M82" i="8"/>
  <c r="E83" i="9"/>
  <c r="E83" i="6"/>
  <c r="H83" i="8"/>
  <c r="H83" i="4"/>
  <c r="F97" i="9"/>
  <c r="F97" i="6"/>
  <c r="I97" i="8"/>
  <c r="I98" i="9"/>
  <c r="I98" i="6"/>
  <c r="L98" i="8"/>
  <c r="L98" i="4"/>
  <c r="D99" i="9"/>
  <c r="D99" i="6"/>
  <c r="G99" i="8"/>
  <c r="G99" i="4"/>
  <c r="K100" i="9"/>
  <c r="K100" i="6"/>
  <c r="N100" i="4"/>
  <c r="N100" i="8"/>
  <c r="B112" i="9"/>
  <c r="B112" i="6"/>
  <c r="E112" i="8"/>
  <c r="O112" i="8" s="1"/>
  <c r="I113" i="9"/>
  <c r="I113" i="6"/>
  <c r="L113" i="8"/>
  <c r="L113" i="4"/>
  <c r="E113" i="9"/>
  <c r="E113" i="6"/>
  <c r="H113" i="8"/>
  <c r="H113" i="4"/>
  <c r="D114" i="9"/>
  <c r="D114" i="6"/>
  <c r="G114" i="8"/>
  <c r="G114" i="4"/>
  <c r="G115" i="9"/>
  <c r="G115" i="6"/>
  <c r="J115" i="4"/>
  <c r="B127" i="6"/>
  <c r="E127" i="8"/>
  <c r="B127" i="9"/>
  <c r="I128" i="9"/>
  <c r="I128" i="6"/>
  <c r="L128" i="8"/>
  <c r="L128" i="4"/>
  <c r="D128" i="8"/>
  <c r="D128" i="4"/>
  <c r="H129" i="9"/>
  <c r="H129" i="6"/>
  <c r="K129" i="8"/>
  <c r="K129" i="4"/>
  <c r="C129" i="8"/>
  <c r="C129" i="4"/>
  <c r="K130" i="9"/>
  <c r="K130" i="6"/>
  <c r="N130" i="8"/>
  <c r="N130" i="4"/>
  <c r="C130" i="9"/>
  <c r="C130" i="6"/>
  <c r="F130" i="8"/>
  <c r="F130" i="4"/>
  <c r="J142" i="9"/>
  <c r="J142" i="6"/>
  <c r="M142" i="8"/>
  <c r="B142" i="6"/>
  <c r="B142" i="9"/>
  <c r="E142" i="8"/>
  <c r="O142" i="8" s="1"/>
  <c r="I143" i="9"/>
  <c r="I143" i="6"/>
  <c r="L143" i="8"/>
  <c r="L143" i="4"/>
  <c r="D143" i="4"/>
  <c r="D143" i="8"/>
  <c r="H144" i="9"/>
  <c r="H144" i="6"/>
  <c r="K144" i="8"/>
  <c r="K144" i="4"/>
  <c r="C144" i="8"/>
  <c r="C144" i="4"/>
  <c r="K145" i="9"/>
  <c r="N145" i="8"/>
  <c r="N145" i="4"/>
  <c r="K145" i="6"/>
  <c r="C145" i="9"/>
  <c r="C145" i="6"/>
  <c r="F145" i="8"/>
  <c r="F145" i="4"/>
  <c r="J157" i="9"/>
  <c r="J157" i="6"/>
  <c r="M157" i="8"/>
  <c r="D158" i="8"/>
  <c r="O158" i="8" s="1"/>
  <c r="D158" i="4"/>
  <c r="D159" i="9"/>
  <c r="D159" i="6"/>
  <c r="G159" i="4"/>
  <c r="G159" i="8"/>
  <c r="E112" i="4"/>
  <c r="O112" i="4" s="1"/>
  <c r="E142" i="4"/>
  <c r="E52" i="9"/>
  <c r="E52" i="6"/>
  <c r="H52" i="8"/>
  <c r="K53" i="9"/>
  <c r="K53" i="6"/>
  <c r="N53" i="4"/>
  <c r="C53" i="6"/>
  <c r="F53" i="4"/>
  <c r="F53" i="8"/>
  <c r="C53" i="9"/>
  <c r="I54" i="9"/>
  <c r="I54" i="6"/>
  <c r="H54" i="8"/>
  <c r="E54" i="6"/>
  <c r="G55" i="9"/>
  <c r="G55" i="6"/>
  <c r="J55" i="4"/>
  <c r="J55" i="8"/>
  <c r="B7" i="9"/>
  <c r="B7" i="6"/>
  <c r="E7" i="8"/>
  <c r="I8" i="6"/>
  <c r="I8" i="9"/>
  <c r="D9" i="6"/>
  <c r="D9" i="9"/>
  <c r="G9" i="4"/>
  <c r="G9" i="8"/>
  <c r="K10" i="6"/>
  <c r="K10" i="9"/>
  <c r="N10" i="4"/>
  <c r="N10" i="8"/>
  <c r="G10" i="6"/>
  <c r="J10" i="4"/>
  <c r="J10" i="8"/>
  <c r="B22" i="9"/>
  <c r="B22" i="6"/>
  <c r="E22" i="8"/>
  <c r="D23" i="6"/>
  <c r="D23" i="9"/>
  <c r="G23" i="8"/>
  <c r="G23" i="4"/>
  <c r="J25" i="6"/>
  <c r="J25" i="9"/>
  <c r="M25" i="8"/>
  <c r="I37" i="9"/>
  <c r="I37" i="6"/>
  <c r="L37" i="8"/>
  <c r="K39" i="9"/>
  <c r="K39" i="6"/>
  <c r="N39" i="4"/>
  <c r="N39" i="8"/>
  <c r="C39" i="9"/>
  <c r="C39" i="6"/>
  <c r="F39" i="4"/>
  <c r="O39" i="4" s="1"/>
  <c r="F39" i="8"/>
  <c r="J40" i="9"/>
  <c r="J40" i="6"/>
  <c r="M40" i="8"/>
  <c r="I67" i="9"/>
  <c r="I67" i="6"/>
  <c r="L67" i="8"/>
  <c r="H68" i="9"/>
  <c r="H68" i="6"/>
  <c r="K68" i="4"/>
  <c r="C69" i="6"/>
  <c r="C69" i="9"/>
  <c r="F69" i="8"/>
  <c r="F69" i="4"/>
  <c r="J70" i="6"/>
  <c r="J70" i="9"/>
  <c r="M70" i="8"/>
  <c r="D82" i="8"/>
  <c r="D82" i="4"/>
  <c r="H83" i="9"/>
  <c r="H83" i="6"/>
  <c r="K83" i="8"/>
  <c r="K83" i="4"/>
  <c r="C83" i="8"/>
  <c r="C83" i="4"/>
  <c r="K84" i="6"/>
  <c r="N84" i="8"/>
  <c r="N84" i="4"/>
  <c r="K84" i="9"/>
  <c r="C84" i="9"/>
  <c r="C84" i="6"/>
  <c r="F84" i="8"/>
  <c r="F84" i="4"/>
  <c r="F85" i="9"/>
  <c r="F85" i="6"/>
  <c r="I85" i="8"/>
  <c r="I97" i="9"/>
  <c r="I97" i="6"/>
  <c r="L97" i="8"/>
  <c r="L97" i="4"/>
  <c r="D98" i="9"/>
  <c r="D98" i="6"/>
  <c r="G98" i="8"/>
  <c r="O98" i="8" s="1"/>
  <c r="G98" i="4"/>
  <c r="G99" i="9"/>
  <c r="G99" i="6"/>
  <c r="J99" i="4"/>
  <c r="J99" i="8"/>
  <c r="E112" i="6"/>
  <c r="E112" i="9"/>
  <c r="H112" i="8"/>
  <c r="H112" i="4"/>
  <c r="H113" i="9"/>
  <c r="H113" i="6"/>
  <c r="K113" i="8"/>
  <c r="K113" i="4"/>
  <c r="C113" i="8"/>
  <c r="O113" i="8" s="1"/>
  <c r="C113" i="4"/>
  <c r="K114" i="9"/>
  <c r="K114" i="6"/>
  <c r="N114" i="4"/>
  <c r="C114" i="9"/>
  <c r="C114" i="6"/>
  <c r="F114" i="4"/>
  <c r="J115" i="6"/>
  <c r="M115" i="8"/>
  <c r="J115" i="9"/>
  <c r="F115" i="9"/>
  <c r="F115" i="6"/>
  <c r="I115" i="8"/>
  <c r="B115" i="9"/>
  <c r="L115" i="9" s="1"/>
  <c r="B115" i="6"/>
  <c r="E115" i="8"/>
  <c r="I127" i="9"/>
  <c r="L127" i="4"/>
  <c r="I127" i="6"/>
  <c r="L127" i="8"/>
  <c r="E127" i="9"/>
  <c r="E127" i="6"/>
  <c r="H127" i="8"/>
  <c r="H127" i="4"/>
  <c r="D127" i="4"/>
  <c r="D127" i="8"/>
  <c r="H128" i="9"/>
  <c r="H128" i="6"/>
  <c r="K128" i="4"/>
  <c r="D128" i="9"/>
  <c r="D128" i="6"/>
  <c r="G128" i="8"/>
  <c r="G128" i="4"/>
  <c r="K129" i="9"/>
  <c r="N129" i="8"/>
  <c r="N129" i="4"/>
  <c r="K129" i="6"/>
  <c r="G129" i="9"/>
  <c r="G129" i="6"/>
  <c r="J129" i="8"/>
  <c r="J129" i="4"/>
  <c r="C129" i="6"/>
  <c r="L129" i="6" s="1"/>
  <c r="C129" i="9"/>
  <c r="F129" i="8"/>
  <c r="F129" i="4"/>
  <c r="B129" i="4"/>
  <c r="O129" i="4" s="1"/>
  <c r="B129" i="8"/>
  <c r="J130" i="6"/>
  <c r="M130" i="8"/>
  <c r="J130" i="9"/>
  <c r="F130" i="9"/>
  <c r="F130" i="6"/>
  <c r="I130" i="8"/>
  <c r="B130" i="9"/>
  <c r="L130" i="9" s="1"/>
  <c r="E130" i="8"/>
  <c r="B130" i="6"/>
  <c r="I142" i="9"/>
  <c r="I142" i="6"/>
  <c r="L142" i="8"/>
  <c r="L142" i="4"/>
  <c r="E142" i="9"/>
  <c r="E142" i="6"/>
  <c r="H142" i="8"/>
  <c r="H142" i="4"/>
  <c r="D142" i="8"/>
  <c r="D142" i="4"/>
  <c r="H143" i="9"/>
  <c r="K143" i="8"/>
  <c r="K143" i="4"/>
  <c r="H143" i="6"/>
  <c r="D143" i="9"/>
  <c r="G143" i="8"/>
  <c r="D143" i="6"/>
  <c r="G143" i="4"/>
  <c r="C143" i="8"/>
  <c r="C143" i="4"/>
  <c r="K144" i="9"/>
  <c r="K144" i="6"/>
  <c r="N144" i="4"/>
  <c r="G144" i="9"/>
  <c r="G144" i="6"/>
  <c r="J144" i="8"/>
  <c r="J144" i="4"/>
  <c r="C144" i="9"/>
  <c r="C144" i="6"/>
  <c r="F144" i="8"/>
  <c r="F144" i="4"/>
  <c r="B144" i="8"/>
  <c r="B144" i="4"/>
  <c r="J145" i="9"/>
  <c r="J145" i="6"/>
  <c r="F145" i="9"/>
  <c r="I145" i="8"/>
  <c r="F145" i="6"/>
  <c r="B145" i="9"/>
  <c r="B145" i="6"/>
  <c r="E145" i="8"/>
  <c r="I157" i="9"/>
  <c r="L157" i="8"/>
  <c r="I157" i="6"/>
  <c r="L157" i="4"/>
  <c r="E157" i="9"/>
  <c r="H157" i="8"/>
  <c r="H157" i="4"/>
  <c r="D157" i="8"/>
  <c r="D157" i="4"/>
  <c r="H158" i="9"/>
  <c r="H158" i="6"/>
  <c r="K158" i="8"/>
  <c r="K158" i="4"/>
  <c r="D158" i="9"/>
  <c r="D158" i="6"/>
  <c r="G158" i="8"/>
  <c r="G158" i="4"/>
  <c r="C158" i="8"/>
  <c r="C158" i="4"/>
  <c r="K159" i="9"/>
  <c r="K159" i="6"/>
  <c r="N159" i="8"/>
  <c r="N159" i="4"/>
  <c r="G159" i="9"/>
  <c r="G159" i="6"/>
  <c r="J159" i="8"/>
  <c r="J159" i="4"/>
  <c r="C159" i="9"/>
  <c r="C159" i="6"/>
  <c r="F159" i="4"/>
  <c r="F159" i="8"/>
  <c r="B159" i="8"/>
  <c r="B159" i="4"/>
  <c r="J160" i="9"/>
  <c r="M160" i="8"/>
  <c r="J160" i="6"/>
  <c r="F160" i="9"/>
  <c r="F160" i="6"/>
  <c r="I160" i="8"/>
  <c r="B160" i="9"/>
  <c r="E160" i="8"/>
  <c r="O160" i="8" s="1"/>
  <c r="B160" i="6"/>
  <c r="M8" i="4"/>
  <c r="B25" i="4"/>
  <c r="E22" i="4"/>
  <c r="M40" i="4"/>
  <c r="B55" i="4"/>
  <c r="M54" i="4"/>
  <c r="E54" i="4"/>
  <c r="B70" i="4"/>
  <c r="E67" i="4"/>
  <c r="B85" i="4"/>
  <c r="I85" i="4"/>
  <c r="I100" i="4"/>
  <c r="I115" i="4"/>
  <c r="I130" i="4"/>
  <c r="I145" i="4"/>
  <c r="I160" i="4"/>
  <c r="H9" i="8"/>
  <c r="F22" i="8"/>
  <c r="C38" i="8"/>
  <c r="O38" i="8" s="1"/>
  <c r="K68" i="8"/>
  <c r="J115" i="8"/>
  <c r="N144" i="8"/>
  <c r="E54" i="9"/>
  <c r="B52" i="9"/>
  <c r="B52" i="6"/>
  <c r="F54" i="9"/>
  <c r="I54" i="8"/>
  <c r="C55" i="4"/>
  <c r="C55" i="8"/>
  <c r="G7" i="6"/>
  <c r="G7" i="9"/>
  <c r="J7" i="4"/>
  <c r="J7" i="8"/>
  <c r="B8" i="6"/>
  <c r="B8" i="9"/>
  <c r="E8" i="8"/>
  <c r="I9" i="9"/>
  <c r="I9" i="6"/>
  <c r="D10" i="9"/>
  <c r="D10" i="6"/>
  <c r="G10" i="4"/>
  <c r="G10" i="8"/>
  <c r="K22" i="9"/>
  <c r="K22" i="6"/>
  <c r="N22" i="4"/>
  <c r="I23" i="9"/>
  <c r="I23" i="6"/>
  <c r="L23" i="8"/>
  <c r="D24" i="9"/>
  <c r="D24" i="6"/>
  <c r="G24" i="8"/>
  <c r="G24" i="4"/>
  <c r="G25" i="6"/>
  <c r="G25" i="9"/>
  <c r="J25" i="4"/>
  <c r="B37" i="9"/>
  <c r="B37" i="6"/>
  <c r="E37" i="8"/>
  <c r="O37" i="8" s="1"/>
  <c r="E38" i="9"/>
  <c r="E38" i="6"/>
  <c r="H38" i="8"/>
  <c r="H39" i="6"/>
  <c r="K39" i="4"/>
  <c r="H39" i="9"/>
  <c r="F67" i="9"/>
  <c r="F67" i="6"/>
  <c r="I67" i="8"/>
  <c r="I68" i="9"/>
  <c r="I68" i="6"/>
  <c r="L68" i="8"/>
  <c r="D69" i="9"/>
  <c r="D69" i="6"/>
  <c r="G69" i="4"/>
  <c r="G70" i="9"/>
  <c r="G70" i="6"/>
  <c r="J70" i="8"/>
  <c r="J70" i="4"/>
  <c r="B82" i="9"/>
  <c r="B82" i="6"/>
  <c r="E82" i="8"/>
  <c r="I83" i="6"/>
  <c r="I83" i="9"/>
  <c r="L83" i="8"/>
  <c r="L83" i="4"/>
  <c r="D84" i="9"/>
  <c r="L84" i="9" s="1"/>
  <c r="D84" i="6"/>
  <c r="G84" i="8"/>
  <c r="G84" i="4"/>
  <c r="G85" i="6"/>
  <c r="J85" i="8"/>
  <c r="J85" i="4"/>
  <c r="B97" i="6"/>
  <c r="B97" i="9"/>
  <c r="L97" i="9" s="1"/>
  <c r="D98" i="8"/>
  <c r="D98" i="4"/>
  <c r="H99" i="9"/>
  <c r="H99" i="6"/>
  <c r="K99" i="8"/>
  <c r="K99" i="4"/>
  <c r="C100" i="9"/>
  <c r="C100" i="6"/>
  <c r="F100" i="4"/>
  <c r="F100" i="8"/>
  <c r="J112" i="9"/>
  <c r="J112" i="6"/>
  <c r="M112" i="8"/>
  <c r="F127" i="9"/>
  <c r="F127" i="6"/>
  <c r="I127" i="8"/>
  <c r="F157" i="9"/>
  <c r="F157" i="6"/>
  <c r="I157" i="8"/>
  <c r="E158" i="9"/>
  <c r="H158" i="8"/>
  <c r="E158" i="6"/>
  <c r="H158" i="4"/>
  <c r="C159" i="8"/>
  <c r="C159" i="4"/>
  <c r="K160" i="9"/>
  <c r="K160" i="6"/>
  <c r="N160" i="8"/>
  <c r="N160" i="4"/>
  <c r="L9" i="4"/>
  <c r="L23" i="4"/>
  <c r="D68" i="4"/>
  <c r="G53" i="9"/>
  <c r="J53" i="8"/>
  <c r="J53" i="4"/>
  <c r="G53" i="6"/>
  <c r="F7" i="6"/>
  <c r="F7" i="9"/>
  <c r="I7" i="8"/>
  <c r="C9" i="4"/>
  <c r="C9" i="8"/>
  <c r="F22" i="9"/>
  <c r="F22" i="6"/>
  <c r="I22" i="8"/>
  <c r="C23" i="8"/>
  <c r="C23" i="4"/>
  <c r="K24" i="9"/>
  <c r="K24" i="6"/>
  <c r="N24" i="4"/>
  <c r="C24" i="6"/>
  <c r="C24" i="9"/>
  <c r="L24" i="9" s="1"/>
  <c r="F24" i="4"/>
  <c r="F25" i="6"/>
  <c r="F25" i="9"/>
  <c r="I25" i="8"/>
  <c r="H38" i="9"/>
  <c r="H38" i="6"/>
  <c r="K38" i="4"/>
  <c r="G39" i="9"/>
  <c r="G39" i="6"/>
  <c r="J39" i="4"/>
  <c r="J39" i="8"/>
  <c r="F40" i="9"/>
  <c r="F40" i="6"/>
  <c r="I40" i="8"/>
  <c r="E67" i="6"/>
  <c r="E67" i="9"/>
  <c r="H67" i="8"/>
  <c r="D68" i="6"/>
  <c r="G68" i="8"/>
  <c r="G68" i="4"/>
  <c r="D68" i="9"/>
  <c r="K69" i="6"/>
  <c r="K69" i="9"/>
  <c r="N69" i="8"/>
  <c r="N69" i="4"/>
  <c r="G69" i="9"/>
  <c r="G69" i="6"/>
  <c r="J69" i="8"/>
  <c r="J69" i="4"/>
  <c r="F70" i="9"/>
  <c r="F70" i="6"/>
  <c r="I70" i="8"/>
  <c r="E82" i="9"/>
  <c r="E82" i="6"/>
  <c r="H82" i="4"/>
  <c r="H82" i="8"/>
  <c r="J85" i="9"/>
  <c r="J85" i="6"/>
  <c r="D97" i="8"/>
  <c r="O97" i="8" s="1"/>
  <c r="D97" i="4"/>
  <c r="C98" i="8"/>
  <c r="C98" i="4"/>
  <c r="C99" i="9"/>
  <c r="C99" i="6"/>
  <c r="F99" i="8"/>
  <c r="F99" i="4"/>
  <c r="J100" i="9"/>
  <c r="J100" i="6"/>
  <c r="M100" i="8"/>
  <c r="B100" i="9"/>
  <c r="B100" i="6"/>
  <c r="E100" i="8"/>
  <c r="O100" i="8" s="1"/>
  <c r="I112" i="9"/>
  <c r="I112" i="6"/>
  <c r="L112" i="8"/>
  <c r="L112" i="4"/>
  <c r="G114" i="9"/>
  <c r="G114" i="6"/>
  <c r="J114" i="4"/>
  <c r="J114" i="8"/>
  <c r="H9" i="4"/>
  <c r="L8" i="4"/>
  <c r="D8" i="4"/>
  <c r="B24" i="4"/>
  <c r="D38" i="4"/>
  <c r="L54" i="4"/>
  <c r="D54" i="4"/>
  <c r="D52" i="4"/>
  <c r="B69" i="4"/>
  <c r="L67" i="4"/>
  <c r="D67" i="4"/>
  <c r="B84" i="4"/>
  <c r="M82" i="4"/>
  <c r="B100" i="4"/>
  <c r="B115" i="4"/>
  <c r="M112" i="4"/>
  <c r="B130" i="4"/>
  <c r="B145" i="4"/>
  <c r="M142" i="4"/>
  <c r="B160" i="4"/>
  <c r="M157" i="4"/>
  <c r="D9" i="8"/>
  <c r="F25" i="8"/>
  <c r="G39" i="8"/>
  <c r="L54" i="8"/>
  <c r="C53" i="8"/>
  <c r="C68" i="8"/>
  <c r="O68" i="8" s="1"/>
  <c r="M85" i="8"/>
  <c r="K128" i="8"/>
  <c r="K159" i="8"/>
  <c r="F54" i="6"/>
  <c r="G10" i="9"/>
  <c r="J52" i="9"/>
  <c r="J52" i="6"/>
  <c r="M52" i="8"/>
  <c r="H53" i="9"/>
  <c r="H53" i="6"/>
  <c r="K53" i="8"/>
  <c r="K53" i="4"/>
  <c r="B54" i="9"/>
  <c r="E54" i="8"/>
  <c r="O54" i="8" s="1"/>
  <c r="H55" i="9"/>
  <c r="H55" i="6"/>
  <c r="K55" i="4"/>
  <c r="K55" i="8"/>
  <c r="C7" i="9"/>
  <c r="F7" i="4"/>
  <c r="F7" i="8"/>
  <c r="C7" i="6"/>
  <c r="F8" i="9"/>
  <c r="F8" i="6"/>
  <c r="I8" i="8"/>
  <c r="H10" i="9"/>
  <c r="K10" i="4"/>
  <c r="H10" i="6"/>
  <c r="K10" i="8"/>
  <c r="G22" i="9"/>
  <c r="G22" i="6"/>
  <c r="J22" i="4"/>
  <c r="E23" i="9"/>
  <c r="E23" i="6"/>
  <c r="H23" i="8"/>
  <c r="O23" i="8" s="1"/>
  <c r="H24" i="6"/>
  <c r="K24" i="8"/>
  <c r="K24" i="4"/>
  <c r="F37" i="9"/>
  <c r="F37" i="6"/>
  <c r="I37" i="8"/>
  <c r="I38" i="9"/>
  <c r="I38" i="6"/>
  <c r="L38" i="8"/>
  <c r="K40" i="6"/>
  <c r="K40" i="9"/>
  <c r="N40" i="4"/>
  <c r="N40" i="8"/>
  <c r="C40" i="6"/>
  <c r="F40" i="4"/>
  <c r="F40" i="8"/>
  <c r="J67" i="9"/>
  <c r="J67" i="6"/>
  <c r="M67" i="8"/>
  <c r="E68" i="9"/>
  <c r="E68" i="6"/>
  <c r="H68" i="8"/>
  <c r="H69" i="9"/>
  <c r="H69" i="6"/>
  <c r="K69" i="8"/>
  <c r="K69" i="4"/>
  <c r="O70" i="8"/>
  <c r="F82" i="9"/>
  <c r="F82" i="6"/>
  <c r="D83" i="8"/>
  <c r="D83" i="4"/>
  <c r="H84" i="9"/>
  <c r="H84" i="6"/>
  <c r="K84" i="8"/>
  <c r="K84" i="4"/>
  <c r="C84" i="8"/>
  <c r="O84" i="8" s="1"/>
  <c r="C84" i="4"/>
  <c r="K85" i="9"/>
  <c r="K85" i="6"/>
  <c r="N85" i="8"/>
  <c r="N85" i="4"/>
  <c r="C85" i="9"/>
  <c r="C85" i="6"/>
  <c r="F85" i="8"/>
  <c r="O85" i="8" s="1"/>
  <c r="F85" i="4"/>
  <c r="J97" i="9"/>
  <c r="J97" i="6"/>
  <c r="E98" i="9"/>
  <c r="E98" i="6"/>
  <c r="H98" i="8"/>
  <c r="H98" i="4"/>
  <c r="C99" i="8"/>
  <c r="C99" i="4"/>
  <c r="G100" i="9"/>
  <c r="G100" i="6"/>
  <c r="J100" i="8"/>
  <c r="J100" i="4"/>
  <c r="F112" i="9"/>
  <c r="I112" i="8"/>
  <c r="F112" i="6"/>
  <c r="D113" i="8"/>
  <c r="D113" i="4"/>
  <c r="O113" i="4" s="1"/>
  <c r="H114" i="9"/>
  <c r="H114" i="6"/>
  <c r="K114" i="4"/>
  <c r="K114" i="8"/>
  <c r="C114" i="4"/>
  <c r="C114" i="8"/>
  <c r="K115" i="9"/>
  <c r="K115" i="6"/>
  <c r="N115" i="4"/>
  <c r="N115" i="8"/>
  <c r="C115" i="9"/>
  <c r="C115" i="6"/>
  <c r="F115" i="4"/>
  <c r="F115" i="8"/>
  <c r="O115" i="8" s="1"/>
  <c r="J127" i="9"/>
  <c r="J127" i="6"/>
  <c r="M127" i="8"/>
  <c r="E128" i="9"/>
  <c r="E128" i="6"/>
  <c r="H128" i="4"/>
  <c r="H128" i="8"/>
  <c r="D129" i="9"/>
  <c r="D129" i="6"/>
  <c r="G129" i="4"/>
  <c r="G130" i="6"/>
  <c r="G130" i="9"/>
  <c r="J130" i="8"/>
  <c r="J130" i="4"/>
  <c r="F142" i="9"/>
  <c r="I142" i="8"/>
  <c r="F142" i="6"/>
  <c r="E143" i="9"/>
  <c r="E143" i="6"/>
  <c r="H143" i="8"/>
  <c r="H143" i="4"/>
  <c r="D144" i="9"/>
  <c r="G144" i="8"/>
  <c r="D144" i="6"/>
  <c r="G144" i="4"/>
  <c r="G145" i="9"/>
  <c r="J145" i="8"/>
  <c r="J145" i="4"/>
  <c r="G145" i="6"/>
  <c r="B157" i="9"/>
  <c r="B157" i="6"/>
  <c r="E157" i="8"/>
  <c r="O157" i="8" s="1"/>
  <c r="I158" i="9"/>
  <c r="I158" i="6"/>
  <c r="L158" i="8"/>
  <c r="L158" i="4"/>
  <c r="H159" i="9"/>
  <c r="K159" i="4"/>
  <c r="G160" i="9"/>
  <c r="G160" i="6"/>
  <c r="J160" i="4"/>
  <c r="C160" i="9"/>
  <c r="C160" i="6"/>
  <c r="F160" i="4"/>
  <c r="F160" i="8"/>
  <c r="D23" i="4"/>
  <c r="L68" i="4"/>
  <c r="E97" i="4"/>
  <c r="E127" i="4"/>
  <c r="E157" i="4"/>
  <c r="N25" i="8"/>
  <c r="E52" i="8"/>
  <c r="I52" i="9"/>
  <c r="I52" i="6"/>
  <c r="L52" i="8"/>
  <c r="B53" i="4"/>
  <c r="B53" i="8"/>
  <c r="K55" i="9"/>
  <c r="K55" i="6"/>
  <c r="N55" i="4"/>
  <c r="N55" i="8"/>
  <c r="C55" i="9"/>
  <c r="C55" i="6"/>
  <c r="F55" i="4"/>
  <c r="F55" i="8"/>
  <c r="J7" i="9"/>
  <c r="J7" i="6"/>
  <c r="M7" i="8"/>
  <c r="E8" i="9"/>
  <c r="E8" i="6"/>
  <c r="H9" i="9"/>
  <c r="H9" i="6"/>
  <c r="K9" i="4"/>
  <c r="K9" i="8"/>
  <c r="O9" i="8" s="1"/>
  <c r="C10" i="9"/>
  <c r="C10" i="6"/>
  <c r="F10" i="4"/>
  <c r="F10" i="8"/>
  <c r="J22" i="9"/>
  <c r="J22" i="6"/>
  <c r="M22" i="8"/>
  <c r="H23" i="6"/>
  <c r="H23" i="9"/>
  <c r="K23" i="8"/>
  <c r="K23" i="4"/>
  <c r="G24" i="6"/>
  <c r="J24" i="4"/>
  <c r="G24" i="9"/>
  <c r="B25" i="9"/>
  <c r="B25" i="6"/>
  <c r="L25" i="6" s="1"/>
  <c r="E25" i="8"/>
  <c r="E37" i="9"/>
  <c r="E37" i="6"/>
  <c r="H37" i="8"/>
  <c r="D38" i="9"/>
  <c r="D38" i="6"/>
  <c r="G38" i="4"/>
  <c r="B40" i="9"/>
  <c r="B40" i="6"/>
  <c r="E40" i="8"/>
  <c r="O40" i="8" s="1"/>
  <c r="B70" i="9"/>
  <c r="B70" i="6"/>
  <c r="E70" i="8"/>
  <c r="I82" i="9"/>
  <c r="I82" i="6"/>
  <c r="L82" i="8"/>
  <c r="L82" i="4"/>
  <c r="D83" i="6"/>
  <c r="D83" i="9"/>
  <c r="L83" i="9" s="1"/>
  <c r="G83" i="8"/>
  <c r="G83" i="4"/>
  <c r="G84" i="9"/>
  <c r="G84" i="6"/>
  <c r="J84" i="8"/>
  <c r="J84" i="4"/>
  <c r="B85" i="9"/>
  <c r="B85" i="6"/>
  <c r="L85" i="6" s="1"/>
  <c r="E97" i="9"/>
  <c r="E97" i="6"/>
  <c r="H97" i="8"/>
  <c r="H97" i="4"/>
  <c r="H98" i="9"/>
  <c r="H98" i="6"/>
  <c r="K98" i="8"/>
  <c r="K98" i="4"/>
  <c r="K99" i="9"/>
  <c r="K99" i="6"/>
  <c r="N99" i="8"/>
  <c r="N99" i="4"/>
  <c r="B99" i="8"/>
  <c r="B99" i="4"/>
  <c r="F100" i="9"/>
  <c r="F100" i="6"/>
  <c r="D112" i="8"/>
  <c r="D112" i="4"/>
  <c r="D113" i="9"/>
  <c r="D113" i="6"/>
  <c r="L113" i="6" s="1"/>
  <c r="G113" i="4"/>
  <c r="G113" i="8"/>
  <c r="B114" i="8"/>
  <c r="B114" i="4"/>
  <c r="O114" i="4" s="1"/>
  <c r="B10" i="4"/>
  <c r="I8" i="4"/>
  <c r="M7" i="4"/>
  <c r="E7" i="4"/>
  <c r="M25" i="4"/>
  <c r="E25" i="4"/>
  <c r="I22" i="4"/>
  <c r="B40" i="4"/>
  <c r="I40" i="4"/>
  <c r="M37" i="4"/>
  <c r="E37" i="4"/>
  <c r="I54" i="4"/>
  <c r="I52" i="4"/>
  <c r="M70" i="4"/>
  <c r="E70" i="4"/>
  <c r="I67" i="4"/>
  <c r="M85" i="4"/>
  <c r="E85" i="4"/>
  <c r="I82" i="4"/>
  <c r="M100" i="4"/>
  <c r="E100" i="4"/>
  <c r="I97" i="4"/>
  <c r="M115" i="4"/>
  <c r="E115" i="4"/>
  <c r="I112" i="4"/>
  <c r="M130" i="4"/>
  <c r="E130" i="4"/>
  <c r="I127" i="4"/>
  <c r="M145" i="4"/>
  <c r="E145" i="4"/>
  <c r="I142" i="4"/>
  <c r="M160" i="4"/>
  <c r="E160" i="4"/>
  <c r="I157" i="4"/>
  <c r="L8" i="8"/>
  <c r="N24" i="8"/>
  <c r="F24" i="8"/>
  <c r="O24" i="8" s="1"/>
  <c r="N22" i="8"/>
  <c r="C39" i="8"/>
  <c r="G38" i="8"/>
  <c r="G69" i="8"/>
  <c r="M97" i="8"/>
  <c r="N114" i="8"/>
  <c r="C128" i="8"/>
  <c r="M145" i="8"/>
  <c r="C40" i="9"/>
  <c r="B8" i="8"/>
  <c r="K7" i="8"/>
  <c r="G7" i="8"/>
  <c r="C7" i="8"/>
  <c r="C52" i="8"/>
  <c r="D25" i="6"/>
  <c r="F23" i="6"/>
  <c r="I39" i="6"/>
  <c r="K37" i="6"/>
  <c r="B53" i="6"/>
  <c r="G52" i="6"/>
  <c r="E10" i="9"/>
  <c r="D52" i="9"/>
  <c r="D52" i="6"/>
  <c r="J53" i="9"/>
  <c r="J53" i="6"/>
  <c r="H54" i="9"/>
  <c r="H54" i="6"/>
  <c r="D54" i="9"/>
  <c r="D54" i="6"/>
  <c r="J55" i="9"/>
  <c r="J55" i="6"/>
  <c r="F55" i="9"/>
  <c r="F55" i="6"/>
  <c r="B55" i="9"/>
  <c r="B55" i="6"/>
  <c r="L55" i="6" s="1"/>
  <c r="I7" i="9"/>
  <c r="I7" i="6"/>
  <c r="E7" i="9"/>
  <c r="E7" i="6"/>
  <c r="H8" i="9"/>
  <c r="H8" i="6"/>
  <c r="D8" i="9"/>
  <c r="D8" i="6"/>
  <c r="K9" i="9"/>
  <c r="K9" i="6"/>
  <c r="G9" i="9"/>
  <c r="G9" i="6"/>
  <c r="C9" i="9"/>
  <c r="C9" i="6"/>
  <c r="J10" i="9"/>
  <c r="J10" i="6"/>
  <c r="F10" i="9"/>
  <c r="F10" i="6"/>
  <c r="B10" i="9"/>
  <c r="B10" i="6"/>
  <c r="L10" i="6" s="1"/>
  <c r="I22" i="9"/>
  <c r="I22" i="6"/>
  <c r="K23" i="9"/>
  <c r="K23" i="6"/>
  <c r="C23" i="9"/>
  <c r="L23" i="9" s="1"/>
  <c r="C23" i="6"/>
  <c r="J24" i="9"/>
  <c r="J24" i="6"/>
  <c r="I25" i="9"/>
  <c r="I25" i="6"/>
  <c r="H37" i="9"/>
  <c r="H37" i="6"/>
  <c r="G38" i="9"/>
  <c r="G38" i="6"/>
  <c r="F39" i="9"/>
  <c r="F39" i="6"/>
  <c r="B39" i="9"/>
  <c r="B39" i="6"/>
  <c r="E40" i="9"/>
  <c r="E40" i="6"/>
  <c r="H67" i="9"/>
  <c r="H67" i="6"/>
  <c r="K68" i="9"/>
  <c r="N68" i="8"/>
  <c r="G68" i="9"/>
  <c r="G68" i="6"/>
  <c r="J68" i="8"/>
  <c r="J69" i="9"/>
  <c r="M69" i="8"/>
  <c r="F69" i="9"/>
  <c r="I69" i="8"/>
  <c r="F69" i="6"/>
  <c r="B69" i="9"/>
  <c r="E69" i="8"/>
  <c r="B69" i="6"/>
  <c r="L69" i="6" s="1"/>
  <c r="E70" i="9"/>
  <c r="E70" i="6"/>
  <c r="H82" i="9"/>
  <c r="K82" i="8"/>
  <c r="D82" i="9"/>
  <c r="D82" i="6"/>
  <c r="G82" i="8"/>
  <c r="K83" i="9"/>
  <c r="N83" i="8"/>
  <c r="K83" i="6"/>
  <c r="G83" i="9"/>
  <c r="J83" i="8"/>
  <c r="C83" i="9"/>
  <c r="F83" i="8"/>
  <c r="C83" i="6"/>
  <c r="O83" i="8"/>
  <c r="J84" i="9"/>
  <c r="J84" i="6"/>
  <c r="I85" i="9"/>
  <c r="I85" i="6"/>
  <c r="H97" i="9"/>
  <c r="K97" i="8"/>
  <c r="H97" i="6"/>
  <c r="D97" i="9"/>
  <c r="G97" i="8"/>
  <c r="G98" i="9"/>
  <c r="G98" i="6"/>
  <c r="F99" i="9"/>
  <c r="F99" i="6"/>
  <c r="B99" i="9"/>
  <c r="L99" i="9" s="1"/>
  <c r="B99" i="6"/>
  <c r="I100" i="9"/>
  <c r="L100" i="8"/>
  <c r="E100" i="9"/>
  <c r="E100" i="6"/>
  <c r="H100" i="8"/>
  <c r="H112" i="9"/>
  <c r="H112" i="6"/>
  <c r="D112" i="9"/>
  <c r="D112" i="6"/>
  <c r="K113" i="9"/>
  <c r="K113" i="6"/>
  <c r="C113" i="9"/>
  <c r="C113" i="6"/>
  <c r="J114" i="9"/>
  <c r="J114" i="6"/>
  <c r="L114" i="6" s="1"/>
  <c r="M114" i="8"/>
  <c r="F114" i="9"/>
  <c r="I114" i="8"/>
  <c r="B114" i="9"/>
  <c r="E114" i="8"/>
  <c r="I115" i="9"/>
  <c r="L115" i="8"/>
  <c r="I115" i="6"/>
  <c r="E115" i="9"/>
  <c r="H115" i="8"/>
  <c r="D127" i="9"/>
  <c r="D127" i="6"/>
  <c r="K128" i="9"/>
  <c r="N128" i="8"/>
  <c r="G128" i="9"/>
  <c r="G128" i="6"/>
  <c r="J128" i="8"/>
  <c r="C128" i="9"/>
  <c r="C128" i="6"/>
  <c r="F128" i="8"/>
  <c r="J129" i="9"/>
  <c r="J129" i="6"/>
  <c r="M129" i="8"/>
  <c r="F129" i="9"/>
  <c r="F129" i="6"/>
  <c r="I129" i="8"/>
  <c r="B129" i="9"/>
  <c r="E129" i="8"/>
  <c r="I130" i="9"/>
  <c r="I130" i="6"/>
  <c r="E130" i="9"/>
  <c r="E130" i="6"/>
  <c r="H142" i="9"/>
  <c r="K142" i="8"/>
  <c r="H142" i="6"/>
  <c r="D142" i="9"/>
  <c r="D142" i="6"/>
  <c r="G142" i="8"/>
  <c r="K143" i="9"/>
  <c r="K143" i="6"/>
  <c r="G143" i="9"/>
  <c r="G143" i="6"/>
  <c r="C143" i="9"/>
  <c r="F143" i="8"/>
  <c r="O143" i="8" s="1"/>
  <c r="C143" i="6"/>
  <c r="B144" i="9"/>
  <c r="B144" i="6"/>
  <c r="E144" i="8"/>
  <c r="I145" i="9"/>
  <c r="I145" i="6"/>
  <c r="E145" i="9"/>
  <c r="E145" i="6"/>
  <c r="H157" i="9"/>
  <c r="H157" i="6"/>
  <c r="K157" i="8"/>
  <c r="D157" i="9"/>
  <c r="D157" i="6"/>
  <c r="G157" i="8"/>
  <c r="K158" i="9"/>
  <c r="K158" i="6"/>
  <c r="G158" i="9"/>
  <c r="G158" i="6"/>
  <c r="J158" i="8"/>
  <c r="C158" i="9"/>
  <c r="C158" i="6"/>
  <c r="F158" i="8"/>
  <c r="J159" i="9"/>
  <c r="J159" i="6"/>
  <c r="F159" i="9"/>
  <c r="F159" i="6"/>
  <c r="I159" i="8"/>
  <c r="B159" i="9"/>
  <c r="B159" i="6"/>
  <c r="E159" i="8"/>
  <c r="I160" i="9"/>
  <c r="I160" i="6"/>
  <c r="L160" i="8"/>
  <c r="E160" i="9"/>
  <c r="E160" i="6"/>
  <c r="H160" i="8"/>
  <c r="K8" i="4"/>
  <c r="G8" i="4"/>
  <c r="G7" i="4"/>
  <c r="B23" i="4"/>
  <c r="G25" i="4"/>
  <c r="C25" i="4"/>
  <c r="K22" i="4"/>
  <c r="C22" i="4"/>
  <c r="O22" i="4" s="1"/>
  <c r="K40" i="4"/>
  <c r="K37" i="4"/>
  <c r="G37" i="4"/>
  <c r="O37" i="4" s="1"/>
  <c r="K54" i="4"/>
  <c r="G54" i="4"/>
  <c r="C54" i="4"/>
  <c r="K52" i="4"/>
  <c r="G52" i="4"/>
  <c r="B68" i="4"/>
  <c r="K70" i="4"/>
  <c r="G70" i="4"/>
  <c r="K67" i="4"/>
  <c r="G67" i="4"/>
  <c r="C67" i="4"/>
  <c r="B83" i="4"/>
  <c r="C85" i="4"/>
  <c r="K82" i="4"/>
  <c r="G82" i="4"/>
  <c r="C82" i="4"/>
  <c r="B98" i="4"/>
  <c r="C100" i="4"/>
  <c r="K97" i="4"/>
  <c r="G97" i="4"/>
  <c r="C97" i="4"/>
  <c r="G115" i="4"/>
  <c r="C115" i="4"/>
  <c r="K112" i="4"/>
  <c r="G112" i="4"/>
  <c r="B128" i="4"/>
  <c r="G130" i="4"/>
  <c r="K127" i="4"/>
  <c r="G127" i="4"/>
  <c r="C127" i="4"/>
  <c r="B143" i="4"/>
  <c r="C145" i="4"/>
  <c r="K142" i="4"/>
  <c r="G142" i="4"/>
  <c r="C142" i="4"/>
  <c r="B158" i="4"/>
  <c r="C160" i="4"/>
  <c r="K157" i="4"/>
  <c r="G157" i="4"/>
  <c r="N9" i="8"/>
  <c r="J9" i="8"/>
  <c r="F9" i="8"/>
  <c r="N8" i="8"/>
  <c r="F8" i="8"/>
  <c r="L25" i="8"/>
  <c r="H25" i="8"/>
  <c r="H24" i="8"/>
  <c r="L22" i="8"/>
  <c r="O22" i="8" s="1"/>
  <c r="H22" i="8"/>
  <c r="M39" i="8"/>
  <c r="I39" i="8"/>
  <c r="E39" i="8"/>
  <c r="O39" i="8" s="1"/>
  <c r="M38" i="8"/>
  <c r="B52" i="8"/>
  <c r="G52" i="8"/>
  <c r="K67" i="8"/>
  <c r="M84" i="8"/>
  <c r="E84" i="8"/>
  <c r="I83" i="8"/>
  <c r="I99" i="8"/>
  <c r="M98" i="8"/>
  <c r="N113" i="8"/>
  <c r="F113" i="8"/>
  <c r="J112" i="8"/>
  <c r="G130" i="8"/>
  <c r="O130" i="8" s="1"/>
  <c r="K127" i="8"/>
  <c r="H145" i="8"/>
  <c r="I144" i="8"/>
  <c r="J143" i="8"/>
  <c r="J9" i="6"/>
  <c r="C8" i="6"/>
  <c r="B24" i="6"/>
  <c r="F24" i="6"/>
  <c r="H22" i="6"/>
  <c r="I40" i="6"/>
  <c r="K38" i="6"/>
  <c r="D37" i="6"/>
  <c r="E55" i="6"/>
  <c r="J69" i="6"/>
  <c r="C68" i="6"/>
  <c r="B84" i="6"/>
  <c r="F84" i="6"/>
  <c r="H82" i="6"/>
  <c r="I100" i="6"/>
  <c r="K98" i="6"/>
  <c r="D97" i="6"/>
  <c r="E115" i="6"/>
  <c r="G113" i="6"/>
  <c r="H127" i="6"/>
  <c r="F158" i="6"/>
  <c r="E22" i="9"/>
  <c r="C68" i="9"/>
  <c r="K52" i="9"/>
  <c r="K52" i="6"/>
  <c r="C52" i="9"/>
  <c r="C52" i="6"/>
  <c r="I53" i="9"/>
  <c r="I53" i="6"/>
  <c r="L53" i="8"/>
  <c r="E53" i="9"/>
  <c r="E53" i="6"/>
  <c r="H53" i="8"/>
  <c r="K54" i="9"/>
  <c r="K54" i="6"/>
  <c r="G54" i="9"/>
  <c r="G54" i="6"/>
  <c r="C54" i="9"/>
  <c r="C54" i="6"/>
  <c r="L54" i="6" s="1"/>
  <c r="I55" i="9"/>
  <c r="I55" i="6"/>
  <c r="H7" i="9"/>
  <c r="H7" i="6"/>
  <c r="G8" i="9"/>
  <c r="G8" i="6"/>
  <c r="F9" i="9"/>
  <c r="F9" i="6"/>
  <c r="B9" i="9"/>
  <c r="L9" i="9" s="1"/>
  <c r="B9" i="6"/>
  <c r="D22" i="9"/>
  <c r="D22" i="6"/>
  <c r="J23" i="9"/>
  <c r="J23" i="6"/>
  <c r="I24" i="9"/>
  <c r="I24" i="6"/>
  <c r="H25" i="9"/>
  <c r="H25" i="6"/>
  <c r="G37" i="9"/>
  <c r="G37" i="6"/>
  <c r="F38" i="6"/>
  <c r="F38" i="9"/>
  <c r="B38" i="6"/>
  <c r="L38" i="6" s="1"/>
  <c r="B38" i="9"/>
  <c r="E39" i="9"/>
  <c r="E39" i="6"/>
  <c r="D40" i="9"/>
  <c r="D40" i="6"/>
  <c r="K67" i="9"/>
  <c r="N67" i="8"/>
  <c r="G67" i="9"/>
  <c r="G67" i="6"/>
  <c r="J67" i="8"/>
  <c r="C67" i="9"/>
  <c r="F67" i="8"/>
  <c r="J68" i="9"/>
  <c r="M68" i="8"/>
  <c r="F68" i="9"/>
  <c r="F68" i="6"/>
  <c r="I68" i="8"/>
  <c r="B68" i="9"/>
  <c r="B68" i="6"/>
  <c r="L68" i="6" s="1"/>
  <c r="E68" i="8"/>
  <c r="E69" i="9"/>
  <c r="E69" i="6"/>
  <c r="D70" i="9"/>
  <c r="D70" i="6"/>
  <c r="K82" i="9"/>
  <c r="K82" i="6"/>
  <c r="N82" i="8"/>
  <c r="G82" i="9"/>
  <c r="J82" i="8"/>
  <c r="C82" i="9"/>
  <c r="C82" i="6"/>
  <c r="F82" i="8"/>
  <c r="O82" i="8" s="1"/>
  <c r="J83" i="9"/>
  <c r="J83" i="6"/>
  <c r="I84" i="9"/>
  <c r="I84" i="6"/>
  <c r="H85" i="9"/>
  <c r="H85" i="6"/>
  <c r="K85" i="8"/>
  <c r="D85" i="9"/>
  <c r="G85" i="8"/>
  <c r="G97" i="9"/>
  <c r="G97" i="6"/>
  <c r="F98" i="9"/>
  <c r="F98" i="6"/>
  <c r="B98" i="9"/>
  <c r="L98" i="9" s="1"/>
  <c r="B98" i="6"/>
  <c r="I99" i="9"/>
  <c r="L99" i="8"/>
  <c r="E99" i="9"/>
  <c r="E99" i="6"/>
  <c r="H99" i="8"/>
  <c r="H100" i="9"/>
  <c r="K100" i="8"/>
  <c r="D100" i="6"/>
  <c r="G100" i="8"/>
  <c r="D100" i="9"/>
  <c r="K112" i="9"/>
  <c r="K112" i="6"/>
  <c r="C112" i="9"/>
  <c r="C112" i="6"/>
  <c r="J113" i="9"/>
  <c r="J113" i="6"/>
  <c r="M113" i="8"/>
  <c r="F113" i="9"/>
  <c r="I113" i="8"/>
  <c r="B113" i="9"/>
  <c r="E113" i="8"/>
  <c r="I114" i="9"/>
  <c r="I114" i="6"/>
  <c r="L114" i="8"/>
  <c r="E114" i="9"/>
  <c r="H114" i="8"/>
  <c r="H115" i="9"/>
  <c r="H115" i="6"/>
  <c r="K127" i="9"/>
  <c r="K127" i="6"/>
  <c r="N127" i="8"/>
  <c r="G127" i="9"/>
  <c r="G127" i="6"/>
  <c r="J127" i="8"/>
  <c r="C127" i="9"/>
  <c r="C127" i="6"/>
  <c r="F127" i="8"/>
  <c r="O127" i="8"/>
  <c r="J128" i="9"/>
  <c r="M128" i="8"/>
  <c r="F128" i="9"/>
  <c r="I128" i="8"/>
  <c r="F128" i="6"/>
  <c r="B128" i="9"/>
  <c r="B128" i="6"/>
  <c r="E128" i="8"/>
  <c r="O128" i="8" s="1"/>
  <c r="I129" i="9"/>
  <c r="I129" i="6"/>
  <c r="E129" i="9"/>
  <c r="E129" i="6"/>
  <c r="H130" i="9"/>
  <c r="H130" i="6"/>
  <c r="K142" i="9"/>
  <c r="K142" i="6"/>
  <c r="N142" i="8"/>
  <c r="G142" i="9"/>
  <c r="G142" i="6"/>
  <c r="C142" i="9"/>
  <c r="C142" i="6"/>
  <c r="J143" i="9"/>
  <c r="J143" i="6"/>
  <c r="M143" i="8"/>
  <c r="F143" i="9"/>
  <c r="F143" i="6"/>
  <c r="B143" i="9"/>
  <c r="L143" i="9" s="1"/>
  <c r="B143" i="6"/>
  <c r="I144" i="9"/>
  <c r="I144" i="6"/>
  <c r="L144" i="8"/>
  <c r="E144" i="9"/>
  <c r="E144" i="6"/>
  <c r="H145" i="9"/>
  <c r="H145" i="6"/>
  <c r="K145" i="8"/>
  <c r="D145" i="9"/>
  <c r="D145" i="6"/>
  <c r="G145" i="8"/>
  <c r="O145" i="8" s="1"/>
  <c r="K157" i="9"/>
  <c r="K157" i="6"/>
  <c r="G157" i="9"/>
  <c r="G157" i="6"/>
  <c r="C157" i="9"/>
  <c r="F157" i="8"/>
  <c r="C157" i="6"/>
  <c r="B158" i="9"/>
  <c r="L158" i="9" s="1"/>
  <c r="B158" i="6"/>
  <c r="L158" i="6" s="1"/>
  <c r="E158" i="8"/>
  <c r="I159" i="9"/>
  <c r="I159" i="6"/>
  <c r="L159" i="8"/>
  <c r="E159" i="6"/>
  <c r="H159" i="8"/>
  <c r="E159" i="9"/>
  <c r="H160" i="9"/>
  <c r="H160" i="6"/>
  <c r="D160" i="9"/>
  <c r="D160" i="6"/>
  <c r="G160" i="8"/>
  <c r="N9" i="4"/>
  <c r="J9" i="4"/>
  <c r="F9" i="4"/>
  <c r="N8" i="4"/>
  <c r="J8" i="4"/>
  <c r="N23" i="4"/>
  <c r="J23" i="4"/>
  <c r="F23" i="4"/>
  <c r="N38" i="4"/>
  <c r="J38" i="4"/>
  <c r="F38" i="4"/>
  <c r="N37" i="4"/>
  <c r="J37" i="4"/>
  <c r="F37" i="4"/>
  <c r="N54" i="4"/>
  <c r="J54" i="4"/>
  <c r="F54" i="4"/>
  <c r="N52" i="4"/>
  <c r="J52" i="4"/>
  <c r="F52" i="4"/>
  <c r="O52" i="4" s="1"/>
  <c r="B67" i="4"/>
  <c r="N68" i="4"/>
  <c r="J68" i="4"/>
  <c r="F68" i="4"/>
  <c r="N67" i="4"/>
  <c r="J67" i="4"/>
  <c r="F67" i="4"/>
  <c r="B82" i="4"/>
  <c r="N83" i="4"/>
  <c r="J83" i="4"/>
  <c r="F83" i="4"/>
  <c r="N82" i="4"/>
  <c r="J82" i="4"/>
  <c r="F82" i="4"/>
  <c r="B97" i="4"/>
  <c r="O97" i="4" s="1"/>
  <c r="N98" i="4"/>
  <c r="J98" i="4"/>
  <c r="F98" i="4"/>
  <c r="N97" i="4"/>
  <c r="J97" i="4"/>
  <c r="F97" i="4"/>
  <c r="N113" i="4"/>
  <c r="J113" i="4"/>
  <c r="F113" i="4"/>
  <c r="N112" i="4"/>
  <c r="J112" i="4"/>
  <c r="F112" i="4"/>
  <c r="B127" i="4"/>
  <c r="N128" i="4"/>
  <c r="J128" i="4"/>
  <c r="F128" i="4"/>
  <c r="N127" i="4"/>
  <c r="J127" i="4"/>
  <c r="F127" i="4"/>
  <c r="B142" i="4"/>
  <c r="O142" i="4" s="1"/>
  <c r="N143" i="4"/>
  <c r="J143" i="4"/>
  <c r="F143" i="4"/>
  <c r="N142" i="4"/>
  <c r="J142" i="4"/>
  <c r="F142" i="4"/>
  <c r="B157" i="4"/>
  <c r="N158" i="4"/>
  <c r="J158" i="4"/>
  <c r="F158" i="4"/>
  <c r="N157" i="4"/>
  <c r="J157" i="4"/>
  <c r="F157" i="4"/>
  <c r="M10" i="8"/>
  <c r="I10" i="8"/>
  <c r="E10" i="8"/>
  <c r="M9" i="8"/>
  <c r="I9" i="8"/>
  <c r="E9" i="8"/>
  <c r="K25" i="8"/>
  <c r="O25" i="8" s="1"/>
  <c r="G25" i="8"/>
  <c r="K22" i="8"/>
  <c r="G22" i="8"/>
  <c r="L40" i="8"/>
  <c r="H40" i="8"/>
  <c r="L39" i="8"/>
  <c r="H39" i="8"/>
  <c r="M55" i="8"/>
  <c r="I55" i="8"/>
  <c r="E55" i="8"/>
  <c r="O55" i="8" s="1"/>
  <c r="E53" i="8"/>
  <c r="K52" i="8"/>
  <c r="F52" i="8"/>
  <c r="L70" i="8"/>
  <c r="H69" i="8"/>
  <c r="H85" i="8"/>
  <c r="L84" i="8"/>
  <c r="J98" i="8"/>
  <c r="N97" i="8"/>
  <c r="F97" i="8"/>
  <c r="K115" i="8"/>
  <c r="G112" i="8"/>
  <c r="L130" i="8"/>
  <c r="H129" i="8"/>
  <c r="H144" i="8"/>
  <c r="I143" i="8"/>
  <c r="J142" i="8"/>
  <c r="K160" i="8"/>
  <c r="M159" i="8"/>
  <c r="N158" i="8"/>
  <c r="B23" i="6"/>
  <c r="E24" i="6"/>
  <c r="H40" i="6"/>
  <c r="J38" i="6"/>
  <c r="C37" i="6"/>
  <c r="F53" i="6"/>
  <c r="I69" i="6"/>
  <c r="K67" i="6"/>
  <c r="B83" i="6"/>
  <c r="E84" i="6"/>
  <c r="G82" i="6"/>
  <c r="H100" i="6"/>
  <c r="J98" i="6"/>
  <c r="C97" i="6"/>
  <c r="D115" i="6"/>
  <c r="F113" i="6"/>
  <c r="K128" i="6"/>
  <c r="J144" i="6"/>
  <c r="S41" i="17"/>
  <c r="S40" i="17"/>
  <c r="T43" i="17"/>
  <c r="L100" i="6" l="1"/>
  <c r="L83" i="6"/>
  <c r="L23" i="6"/>
  <c r="O157" i="4"/>
  <c r="L128" i="6"/>
  <c r="L68" i="9"/>
  <c r="O143" i="4"/>
  <c r="O54" i="4"/>
  <c r="L144" i="9"/>
  <c r="L129" i="9"/>
  <c r="L39" i="6"/>
  <c r="L10" i="9"/>
  <c r="L55" i="9"/>
  <c r="L53" i="6"/>
  <c r="O40" i="4"/>
  <c r="O114" i="8"/>
  <c r="L85" i="9"/>
  <c r="L25" i="9"/>
  <c r="O53" i="8"/>
  <c r="L157" i="9"/>
  <c r="O145" i="4"/>
  <c r="O100" i="4"/>
  <c r="L100" i="9"/>
  <c r="L97" i="6"/>
  <c r="L37" i="6"/>
  <c r="L52" i="6"/>
  <c r="O85" i="4"/>
  <c r="O25" i="4"/>
  <c r="L160" i="9"/>
  <c r="O159" i="8"/>
  <c r="O144" i="4"/>
  <c r="L142" i="9"/>
  <c r="L112" i="6"/>
  <c r="L67" i="6"/>
  <c r="L24" i="6"/>
  <c r="O83" i="4"/>
  <c r="O115" i="4"/>
  <c r="L8" i="6"/>
  <c r="L53" i="9"/>
  <c r="L127" i="6"/>
  <c r="O67" i="4"/>
  <c r="L128" i="9"/>
  <c r="L113" i="9"/>
  <c r="L98" i="6"/>
  <c r="L9" i="6"/>
  <c r="O52" i="8"/>
  <c r="O128" i="4"/>
  <c r="O68" i="4"/>
  <c r="L159" i="6"/>
  <c r="L69" i="9"/>
  <c r="L39" i="9"/>
  <c r="O8" i="8"/>
  <c r="O99" i="4"/>
  <c r="L40" i="6"/>
  <c r="O53" i="4"/>
  <c r="L54" i="9"/>
  <c r="O130" i="4"/>
  <c r="O69" i="4"/>
  <c r="O38" i="4"/>
  <c r="L82" i="6"/>
  <c r="L37" i="9"/>
  <c r="L52" i="9"/>
  <c r="O55" i="4"/>
  <c r="L145" i="6"/>
  <c r="O144" i="8"/>
  <c r="L130" i="6"/>
  <c r="L22" i="6"/>
  <c r="L7" i="6"/>
  <c r="L142" i="6"/>
  <c r="L127" i="9"/>
  <c r="L112" i="9"/>
  <c r="L67" i="9"/>
  <c r="O158" i="4"/>
  <c r="L144" i="6"/>
  <c r="L114" i="9"/>
  <c r="L70" i="9"/>
  <c r="L157" i="6"/>
  <c r="O159" i="4"/>
  <c r="O127" i="4"/>
  <c r="O82" i="4"/>
  <c r="L143" i="6"/>
  <c r="L38" i="9"/>
  <c r="L84" i="6"/>
  <c r="O98" i="4"/>
  <c r="O23" i="4"/>
  <c r="L159" i="9"/>
  <c r="L99" i="6"/>
  <c r="O99" i="8"/>
  <c r="L70" i="6"/>
  <c r="L40" i="9"/>
  <c r="O160" i="4"/>
  <c r="O84" i="4"/>
  <c r="O24" i="4"/>
  <c r="L82" i="9"/>
  <c r="L8" i="9"/>
  <c r="O70" i="4"/>
  <c r="L160" i="6"/>
  <c r="L145" i="9"/>
  <c r="O129" i="8"/>
  <c r="L115" i="6"/>
  <c r="L22" i="9"/>
  <c r="L7" i="9"/>
  <c r="O7" i="8"/>
  <c r="L96" i="6"/>
  <c r="L81" i="6"/>
  <c r="L66" i="6"/>
  <c r="L51" i="6"/>
  <c r="L36" i="6"/>
  <c r="L21" i="6"/>
  <c r="L6" i="6"/>
  <c r="O156" i="4"/>
  <c r="O141" i="4"/>
  <c r="O126" i="4"/>
  <c r="O111" i="4"/>
  <c r="O96" i="4"/>
  <c r="O81" i="4"/>
  <c r="O66" i="4"/>
  <c r="O51" i="4"/>
  <c r="O36" i="4"/>
  <c r="O21" i="4"/>
  <c r="O7" i="4"/>
  <c r="O8" i="4"/>
  <c r="O9" i="4"/>
  <c r="O10" i="4"/>
  <c r="AF30" i="9" l="1"/>
  <c r="AF29" i="9"/>
  <c r="AF28" i="9"/>
  <c r="AF27" i="9"/>
  <c r="AB30" i="9"/>
  <c r="AB29" i="9"/>
  <c r="AB28" i="9"/>
  <c r="AB27" i="9"/>
  <c r="AF30" i="6"/>
  <c r="AF29" i="6"/>
  <c r="AF28" i="6"/>
  <c r="AF27" i="6"/>
  <c r="AB30" i="6"/>
  <c r="AB29" i="6"/>
  <c r="AB28" i="6"/>
  <c r="AB27" i="6"/>
  <c r="AI30" i="8"/>
  <c r="AI29" i="8"/>
  <c r="AI28" i="8"/>
  <c r="AI27" i="8"/>
  <c r="AE30" i="8"/>
  <c r="AE29" i="8"/>
  <c r="AE28" i="8"/>
  <c r="AE27" i="8"/>
  <c r="AI31" i="4"/>
  <c r="AI30" i="4"/>
  <c r="AI29" i="4"/>
  <c r="AI28" i="4"/>
  <c r="AE31" i="4"/>
  <c r="AE30" i="4"/>
  <c r="AE29" i="4"/>
  <c r="AE28" i="4"/>
  <c r="H73" i="4" l="1"/>
  <c r="B13" i="6"/>
  <c r="B13" i="9" s="1"/>
  <c r="C13" i="6"/>
  <c r="C13" i="9" s="1"/>
  <c r="K13" i="4"/>
  <c r="K13" i="8" s="1"/>
  <c r="L13" i="4"/>
  <c r="L13" i="8" s="1"/>
  <c r="M13" i="4"/>
  <c r="M13" i="8" s="1"/>
  <c r="G13" i="4"/>
  <c r="G13" i="8" s="1"/>
  <c r="H13" i="4"/>
  <c r="H13" i="8" s="1"/>
  <c r="I13" i="4"/>
  <c r="I13" i="8" s="1"/>
  <c r="J13" i="4"/>
  <c r="J13" i="8" s="1"/>
  <c r="N13" i="4"/>
  <c r="N13" i="8" s="1"/>
  <c r="F13" i="6"/>
  <c r="F13" i="9" s="1"/>
  <c r="G13" i="6"/>
  <c r="G13" i="9" s="1"/>
  <c r="H13" i="6"/>
  <c r="H13" i="9" s="1"/>
  <c r="D13" i="6"/>
  <c r="D13" i="9" s="1"/>
  <c r="E13" i="6"/>
  <c r="E13" i="9" s="1"/>
  <c r="I13" i="6"/>
  <c r="I13" i="9" s="1"/>
  <c r="K13" i="6"/>
  <c r="K13" i="9" s="1"/>
  <c r="J13" i="6"/>
  <c r="J13" i="9" s="1"/>
  <c r="F13" i="4"/>
  <c r="F13" i="8" s="1"/>
  <c r="B13" i="4"/>
  <c r="B13" i="8" s="1"/>
  <c r="C13" i="4"/>
  <c r="C13" i="8" s="1"/>
  <c r="E13" i="4"/>
  <c r="E13" i="8" s="1"/>
  <c r="D13" i="4"/>
  <c r="D13" i="8" s="1"/>
  <c r="L13" i="6" l="1"/>
  <c r="B22" i="7" l="1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B25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B37" i="7"/>
  <c r="C37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B38" i="7"/>
  <c r="C38" i="7"/>
  <c r="D38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B39" i="7"/>
  <c r="C39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B40" i="7"/>
  <c r="C40" i="7"/>
  <c r="D40" i="7"/>
  <c r="E40" i="7"/>
  <c r="F40" i="7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B52" i="7"/>
  <c r="C52" i="7"/>
  <c r="D52" i="7"/>
  <c r="E52" i="7"/>
  <c r="F52" i="7"/>
  <c r="G52" i="7"/>
  <c r="H52" i="7"/>
  <c r="I52" i="7"/>
  <c r="J52" i="7"/>
  <c r="K52" i="7"/>
  <c r="L52" i="7"/>
  <c r="M52" i="7"/>
  <c r="N52" i="7"/>
  <c r="O52" i="7"/>
  <c r="P52" i="7"/>
  <c r="Q52" i="7"/>
  <c r="R52" i="7"/>
  <c r="S52" i="7"/>
  <c r="T52" i="7"/>
  <c r="U52" i="7"/>
  <c r="B53" i="7"/>
  <c r="C53" i="7"/>
  <c r="D53" i="7"/>
  <c r="E53" i="7"/>
  <c r="F53" i="7"/>
  <c r="G53" i="7"/>
  <c r="H53" i="7"/>
  <c r="I53" i="7"/>
  <c r="J53" i="7"/>
  <c r="K53" i="7"/>
  <c r="L53" i="7"/>
  <c r="M53" i="7"/>
  <c r="N53" i="7"/>
  <c r="O53" i="7"/>
  <c r="P53" i="7"/>
  <c r="Q53" i="7"/>
  <c r="R53" i="7"/>
  <c r="S53" i="7"/>
  <c r="T53" i="7"/>
  <c r="U53" i="7"/>
  <c r="B54" i="7"/>
  <c r="C54" i="7"/>
  <c r="D54" i="7"/>
  <c r="E54" i="7"/>
  <c r="F54" i="7"/>
  <c r="G54" i="7"/>
  <c r="H54" i="7"/>
  <c r="I54" i="7"/>
  <c r="J54" i="7"/>
  <c r="K54" i="7"/>
  <c r="L54" i="7"/>
  <c r="M54" i="7"/>
  <c r="N54" i="7"/>
  <c r="O54" i="7"/>
  <c r="P54" i="7"/>
  <c r="Q54" i="7"/>
  <c r="R54" i="7"/>
  <c r="S54" i="7"/>
  <c r="T54" i="7"/>
  <c r="U54" i="7"/>
  <c r="B55" i="7"/>
  <c r="C55" i="7"/>
  <c r="D55" i="7"/>
  <c r="E55" i="7"/>
  <c r="F55" i="7"/>
  <c r="G55" i="7"/>
  <c r="H55" i="7"/>
  <c r="I55" i="7"/>
  <c r="J55" i="7"/>
  <c r="K55" i="7"/>
  <c r="L55" i="7"/>
  <c r="M55" i="7"/>
  <c r="N55" i="7"/>
  <c r="O55" i="7"/>
  <c r="P55" i="7"/>
  <c r="Q55" i="7"/>
  <c r="R55" i="7"/>
  <c r="S55" i="7"/>
  <c r="T55" i="7"/>
  <c r="U55" i="7"/>
  <c r="B67" i="7"/>
  <c r="C67" i="7"/>
  <c r="D67" i="7"/>
  <c r="E67" i="7"/>
  <c r="F67" i="7"/>
  <c r="G67" i="7"/>
  <c r="H67" i="7"/>
  <c r="I67" i="7"/>
  <c r="J67" i="7"/>
  <c r="K67" i="7"/>
  <c r="L67" i="7"/>
  <c r="M67" i="7"/>
  <c r="N67" i="7"/>
  <c r="O67" i="7"/>
  <c r="P67" i="7"/>
  <c r="Q67" i="7"/>
  <c r="R67" i="7"/>
  <c r="S67" i="7"/>
  <c r="T67" i="7"/>
  <c r="U67" i="7"/>
  <c r="B68" i="7"/>
  <c r="C68" i="7"/>
  <c r="D68" i="7"/>
  <c r="E68" i="7"/>
  <c r="F68" i="7"/>
  <c r="G68" i="7"/>
  <c r="H68" i="7"/>
  <c r="I68" i="7"/>
  <c r="J68" i="7"/>
  <c r="K68" i="7"/>
  <c r="L68" i="7"/>
  <c r="M68" i="7"/>
  <c r="N68" i="7"/>
  <c r="O68" i="7"/>
  <c r="P68" i="7"/>
  <c r="Q68" i="7"/>
  <c r="R68" i="7"/>
  <c r="S68" i="7"/>
  <c r="T68" i="7"/>
  <c r="U68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O69" i="7"/>
  <c r="P69" i="7"/>
  <c r="Q69" i="7"/>
  <c r="R69" i="7"/>
  <c r="S69" i="7"/>
  <c r="T69" i="7"/>
  <c r="U69" i="7"/>
  <c r="B70" i="7"/>
  <c r="C70" i="7"/>
  <c r="D70" i="7"/>
  <c r="E70" i="7"/>
  <c r="F70" i="7"/>
  <c r="G70" i="7"/>
  <c r="H70" i="7"/>
  <c r="I70" i="7"/>
  <c r="J70" i="7"/>
  <c r="K70" i="7"/>
  <c r="L70" i="7"/>
  <c r="M70" i="7"/>
  <c r="N70" i="7"/>
  <c r="O70" i="7"/>
  <c r="P70" i="7"/>
  <c r="Q70" i="7"/>
  <c r="R70" i="7"/>
  <c r="S70" i="7"/>
  <c r="T70" i="7"/>
  <c r="U70" i="7"/>
  <c r="B82" i="7"/>
  <c r="C82" i="7"/>
  <c r="D82" i="7"/>
  <c r="E82" i="7"/>
  <c r="F82" i="7"/>
  <c r="G82" i="7"/>
  <c r="H82" i="7"/>
  <c r="I82" i="7"/>
  <c r="J82" i="7"/>
  <c r="K82" i="7"/>
  <c r="L82" i="7"/>
  <c r="M82" i="7"/>
  <c r="N82" i="7"/>
  <c r="O82" i="7"/>
  <c r="P82" i="7"/>
  <c r="Q82" i="7"/>
  <c r="R82" i="7"/>
  <c r="S82" i="7"/>
  <c r="T82" i="7"/>
  <c r="U82" i="7"/>
  <c r="B83" i="7"/>
  <c r="C83" i="7"/>
  <c r="D83" i="7"/>
  <c r="E83" i="7"/>
  <c r="F83" i="7"/>
  <c r="G83" i="7"/>
  <c r="H83" i="7"/>
  <c r="I83" i="7"/>
  <c r="J83" i="7"/>
  <c r="K83" i="7"/>
  <c r="L83" i="7"/>
  <c r="M83" i="7"/>
  <c r="N83" i="7"/>
  <c r="O83" i="7"/>
  <c r="P83" i="7"/>
  <c r="Q83" i="7"/>
  <c r="R83" i="7"/>
  <c r="S83" i="7"/>
  <c r="T83" i="7"/>
  <c r="U83" i="7"/>
  <c r="B84" i="7"/>
  <c r="C84" i="7"/>
  <c r="D84" i="7"/>
  <c r="E84" i="7"/>
  <c r="F84" i="7"/>
  <c r="G84" i="7"/>
  <c r="H84" i="7"/>
  <c r="I84" i="7"/>
  <c r="J84" i="7"/>
  <c r="K84" i="7"/>
  <c r="L84" i="7"/>
  <c r="M84" i="7"/>
  <c r="N84" i="7"/>
  <c r="O84" i="7"/>
  <c r="P84" i="7"/>
  <c r="Q84" i="7"/>
  <c r="R84" i="7"/>
  <c r="S84" i="7"/>
  <c r="T84" i="7"/>
  <c r="U84" i="7"/>
  <c r="B85" i="7"/>
  <c r="C85" i="7"/>
  <c r="D85" i="7"/>
  <c r="E85" i="7"/>
  <c r="F85" i="7"/>
  <c r="G85" i="7"/>
  <c r="H85" i="7"/>
  <c r="I85" i="7"/>
  <c r="J85" i="7"/>
  <c r="K85" i="7"/>
  <c r="L85" i="7"/>
  <c r="M85" i="7"/>
  <c r="N85" i="7"/>
  <c r="O85" i="7"/>
  <c r="P85" i="7"/>
  <c r="Q85" i="7"/>
  <c r="R85" i="7"/>
  <c r="S85" i="7"/>
  <c r="T85" i="7"/>
  <c r="U85" i="7"/>
  <c r="B97" i="7"/>
  <c r="C97" i="7"/>
  <c r="D97" i="7"/>
  <c r="E97" i="7"/>
  <c r="F97" i="7"/>
  <c r="G97" i="7"/>
  <c r="H97" i="7"/>
  <c r="I97" i="7"/>
  <c r="J97" i="7"/>
  <c r="K97" i="7"/>
  <c r="L97" i="7"/>
  <c r="M97" i="7"/>
  <c r="N97" i="7"/>
  <c r="O97" i="7"/>
  <c r="P97" i="7"/>
  <c r="Q97" i="7"/>
  <c r="R97" i="7"/>
  <c r="S97" i="7"/>
  <c r="T97" i="7"/>
  <c r="U97" i="7"/>
  <c r="B98" i="7"/>
  <c r="C98" i="7"/>
  <c r="D98" i="7"/>
  <c r="E98" i="7"/>
  <c r="F98" i="7"/>
  <c r="G98" i="7"/>
  <c r="H98" i="7"/>
  <c r="I98" i="7"/>
  <c r="J98" i="7"/>
  <c r="K98" i="7"/>
  <c r="L98" i="7"/>
  <c r="M98" i="7"/>
  <c r="N98" i="7"/>
  <c r="O98" i="7"/>
  <c r="P98" i="7"/>
  <c r="Q98" i="7"/>
  <c r="R98" i="7"/>
  <c r="S98" i="7"/>
  <c r="T98" i="7"/>
  <c r="U98" i="7"/>
  <c r="B99" i="7"/>
  <c r="C99" i="7"/>
  <c r="D99" i="7"/>
  <c r="E99" i="7"/>
  <c r="F99" i="7"/>
  <c r="G99" i="7"/>
  <c r="H99" i="7"/>
  <c r="I99" i="7"/>
  <c r="J99" i="7"/>
  <c r="K99" i="7"/>
  <c r="L99" i="7"/>
  <c r="M99" i="7"/>
  <c r="N99" i="7"/>
  <c r="O99" i="7"/>
  <c r="P99" i="7"/>
  <c r="Q99" i="7"/>
  <c r="R99" i="7"/>
  <c r="S99" i="7"/>
  <c r="T99" i="7"/>
  <c r="U99" i="7"/>
  <c r="B100" i="7"/>
  <c r="C100" i="7"/>
  <c r="D100" i="7"/>
  <c r="E100" i="7"/>
  <c r="F100" i="7"/>
  <c r="G100" i="7"/>
  <c r="H100" i="7"/>
  <c r="I100" i="7"/>
  <c r="J100" i="7"/>
  <c r="K100" i="7"/>
  <c r="L100" i="7"/>
  <c r="M100" i="7"/>
  <c r="N100" i="7"/>
  <c r="O100" i="7"/>
  <c r="P100" i="7"/>
  <c r="Q100" i="7"/>
  <c r="R100" i="7"/>
  <c r="S100" i="7"/>
  <c r="T100" i="7"/>
  <c r="U100" i="7"/>
  <c r="B112" i="7"/>
  <c r="C112" i="7"/>
  <c r="D112" i="7"/>
  <c r="E112" i="7"/>
  <c r="F112" i="7"/>
  <c r="G112" i="7"/>
  <c r="H112" i="7"/>
  <c r="I112" i="7"/>
  <c r="J112" i="7"/>
  <c r="K112" i="7"/>
  <c r="L112" i="7"/>
  <c r="M112" i="7"/>
  <c r="N112" i="7"/>
  <c r="O112" i="7"/>
  <c r="P112" i="7"/>
  <c r="Q112" i="7"/>
  <c r="R112" i="7"/>
  <c r="S112" i="7"/>
  <c r="T112" i="7"/>
  <c r="U112" i="7"/>
  <c r="B113" i="7"/>
  <c r="C113" i="7"/>
  <c r="D113" i="7"/>
  <c r="E113" i="7"/>
  <c r="F113" i="7"/>
  <c r="G113" i="7"/>
  <c r="H113" i="7"/>
  <c r="I113" i="7"/>
  <c r="J113" i="7"/>
  <c r="K113" i="7"/>
  <c r="L113" i="7"/>
  <c r="M113" i="7"/>
  <c r="N113" i="7"/>
  <c r="O113" i="7"/>
  <c r="P113" i="7"/>
  <c r="Q113" i="7"/>
  <c r="R113" i="7"/>
  <c r="S113" i="7"/>
  <c r="T113" i="7"/>
  <c r="U113" i="7"/>
  <c r="B114" i="7"/>
  <c r="C114" i="7"/>
  <c r="D114" i="7"/>
  <c r="E114" i="7"/>
  <c r="F114" i="7"/>
  <c r="G114" i="7"/>
  <c r="H114" i="7"/>
  <c r="I114" i="7"/>
  <c r="J114" i="7"/>
  <c r="K114" i="7"/>
  <c r="L114" i="7"/>
  <c r="M114" i="7"/>
  <c r="N114" i="7"/>
  <c r="O114" i="7"/>
  <c r="P114" i="7"/>
  <c r="Q114" i="7"/>
  <c r="R114" i="7"/>
  <c r="S114" i="7"/>
  <c r="T114" i="7"/>
  <c r="U114" i="7"/>
  <c r="B115" i="7"/>
  <c r="C115" i="7"/>
  <c r="D115" i="7"/>
  <c r="E115" i="7"/>
  <c r="F115" i="7"/>
  <c r="G115" i="7"/>
  <c r="H115" i="7"/>
  <c r="I115" i="7"/>
  <c r="J115" i="7"/>
  <c r="K115" i="7"/>
  <c r="L115" i="7"/>
  <c r="M115" i="7"/>
  <c r="N115" i="7"/>
  <c r="O115" i="7"/>
  <c r="P115" i="7"/>
  <c r="Q115" i="7"/>
  <c r="R115" i="7"/>
  <c r="S115" i="7"/>
  <c r="T115" i="7"/>
  <c r="U115" i="7"/>
  <c r="B127" i="7"/>
  <c r="C127" i="7"/>
  <c r="D127" i="7"/>
  <c r="E127" i="7"/>
  <c r="F127" i="7"/>
  <c r="G127" i="7"/>
  <c r="H127" i="7"/>
  <c r="I127" i="7"/>
  <c r="J127" i="7"/>
  <c r="K127" i="7"/>
  <c r="L127" i="7"/>
  <c r="M127" i="7"/>
  <c r="N127" i="7"/>
  <c r="O127" i="7"/>
  <c r="P127" i="7"/>
  <c r="Q127" i="7"/>
  <c r="R127" i="7"/>
  <c r="S127" i="7"/>
  <c r="T127" i="7"/>
  <c r="U127" i="7"/>
  <c r="B128" i="7"/>
  <c r="C128" i="7"/>
  <c r="D128" i="7"/>
  <c r="E128" i="7"/>
  <c r="F128" i="7"/>
  <c r="G128" i="7"/>
  <c r="H128" i="7"/>
  <c r="I128" i="7"/>
  <c r="J128" i="7"/>
  <c r="K128" i="7"/>
  <c r="L128" i="7"/>
  <c r="M128" i="7"/>
  <c r="N128" i="7"/>
  <c r="O128" i="7"/>
  <c r="P128" i="7"/>
  <c r="Q128" i="7"/>
  <c r="R128" i="7"/>
  <c r="S128" i="7"/>
  <c r="T128" i="7"/>
  <c r="U128" i="7"/>
  <c r="B129" i="7"/>
  <c r="C129" i="7"/>
  <c r="D129" i="7"/>
  <c r="E129" i="7"/>
  <c r="F129" i="7"/>
  <c r="G129" i="7"/>
  <c r="H129" i="7"/>
  <c r="I129" i="7"/>
  <c r="J129" i="7"/>
  <c r="K129" i="7"/>
  <c r="L129" i="7"/>
  <c r="M129" i="7"/>
  <c r="N129" i="7"/>
  <c r="O129" i="7"/>
  <c r="P129" i="7"/>
  <c r="Q129" i="7"/>
  <c r="R129" i="7"/>
  <c r="S129" i="7"/>
  <c r="T129" i="7"/>
  <c r="U129" i="7"/>
  <c r="B130" i="7"/>
  <c r="C130" i="7"/>
  <c r="D130" i="7"/>
  <c r="E130" i="7"/>
  <c r="F130" i="7"/>
  <c r="G130" i="7"/>
  <c r="H130" i="7"/>
  <c r="I130" i="7"/>
  <c r="J130" i="7"/>
  <c r="K130" i="7"/>
  <c r="L130" i="7"/>
  <c r="M130" i="7"/>
  <c r="N130" i="7"/>
  <c r="O130" i="7"/>
  <c r="P130" i="7"/>
  <c r="Q130" i="7"/>
  <c r="R130" i="7"/>
  <c r="S130" i="7"/>
  <c r="T130" i="7"/>
  <c r="U130" i="7"/>
  <c r="B142" i="7"/>
  <c r="C142" i="7"/>
  <c r="D142" i="7"/>
  <c r="E142" i="7"/>
  <c r="F142" i="7"/>
  <c r="G142" i="7"/>
  <c r="H142" i="7"/>
  <c r="I142" i="7"/>
  <c r="J142" i="7"/>
  <c r="K142" i="7"/>
  <c r="L142" i="7"/>
  <c r="M142" i="7"/>
  <c r="N142" i="7"/>
  <c r="O142" i="7"/>
  <c r="P142" i="7"/>
  <c r="Q142" i="7"/>
  <c r="R142" i="7"/>
  <c r="S142" i="7"/>
  <c r="T142" i="7"/>
  <c r="U142" i="7"/>
  <c r="B143" i="7"/>
  <c r="C143" i="7"/>
  <c r="D143" i="7"/>
  <c r="E143" i="7"/>
  <c r="F143" i="7"/>
  <c r="G143" i="7"/>
  <c r="H143" i="7"/>
  <c r="I143" i="7"/>
  <c r="J143" i="7"/>
  <c r="K143" i="7"/>
  <c r="L143" i="7"/>
  <c r="M143" i="7"/>
  <c r="N143" i="7"/>
  <c r="O143" i="7"/>
  <c r="P143" i="7"/>
  <c r="Q143" i="7"/>
  <c r="R143" i="7"/>
  <c r="S143" i="7"/>
  <c r="T143" i="7"/>
  <c r="U143" i="7"/>
  <c r="B144" i="7"/>
  <c r="C144" i="7"/>
  <c r="D144" i="7"/>
  <c r="E144" i="7"/>
  <c r="F144" i="7"/>
  <c r="G144" i="7"/>
  <c r="H144" i="7"/>
  <c r="I144" i="7"/>
  <c r="J144" i="7"/>
  <c r="K144" i="7"/>
  <c r="L144" i="7"/>
  <c r="M144" i="7"/>
  <c r="N144" i="7"/>
  <c r="O144" i="7"/>
  <c r="P144" i="7"/>
  <c r="Q144" i="7"/>
  <c r="R144" i="7"/>
  <c r="S144" i="7"/>
  <c r="T144" i="7"/>
  <c r="U144" i="7"/>
  <c r="B145" i="7"/>
  <c r="C145" i="7"/>
  <c r="D145" i="7"/>
  <c r="E145" i="7"/>
  <c r="F145" i="7"/>
  <c r="G145" i="7"/>
  <c r="H145" i="7"/>
  <c r="I145" i="7"/>
  <c r="J145" i="7"/>
  <c r="K145" i="7"/>
  <c r="L145" i="7"/>
  <c r="M145" i="7"/>
  <c r="N145" i="7"/>
  <c r="O145" i="7"/>
  <c r="P145" i="7"/>
  <c r="Q145" i="7"/>
  <c r="R145" i="7"/>
  <c r="S145" i="7"/>
  <c r="T145" i="7"/>
  <c r="U145" i="7"/>
  <c r="B157" i="7"/>
  <c r="C157" i="7"/>
  <c r="D157" i="7"/>
  <c r="E157" i="7"/>
  <c r="F157" i="7"/>
  <c r="G157" i="7"/>
  <c r="H157" i="7"/>
  <c r="I157" i="7"/>
  <c r="J157" i="7"/>
  <c r="K157" i="7"/>
  <c r="L157" i="7"/>
  <c r="M157" i="7"/>
  <c r="N157" i="7"/>
  <c r="O157" i="7"/>
  <c r="P157" i="7"/>
  <c r="Q157" i="7"/>
  <c r="R157" i="7"/>
  <c r="S157" i="7"/>
  <c r="T157" i="7"/>
  <c r="U157" i="7"/>
  <c r="B158" i="7"/>
  <c r="C158" i="7"/>
  <c r="D158" i="7"/>
  <c r="E158" i="7"/>
  <c r="F158" i="7"/>
  <c r="G158" i="7"/>
  <c r="H158" i="7"/>
  <c r="I158" i="7"/>
  <c r="J158" i="7"/>
  <c r="K158" i="7"/>
  <c r="L158" i="7"/>
  <c r="M158" i="7"/>
  <c r="N158" i="7"/>
  <c r="O158" i="7"/>
  <c r="P158" i="7"/>
  <c r="Q158" i="7"/>
  <c r="R158" i="7"/>
  <c r="S158" i="7"/>
  <c r="T158" i="7"/>
  <c r="U158" i="7"/>
  <c r="B159" i="7"/>
  <c r="C159" i="7"/>
  <c r="D159" i="7"/>
  <c r="E159" i="7"/>
  <c r="F159" i="7"/>
  <c r="G159" i="7"/>
  <c r="H159" i="7"/>
  <c r="I159" i="7"/>
  <c r="J159" i="7"/>
  <c r="K159" i="7"/>
  <c r="L159" i="7"/>
  <c r="M159" i="7"/>
  <c r="N159" i="7"/>
  <c r="O159" i="7"/>
  <c r="P159" i="7"/>
  <c r="Q159" i="7"/>
  <c r="R159" i="7"/>
  <c r="S159" i="7"/>
  <c r="T159" i="7"/>
  <c r="U159" i="7"/>
  <c r="B160" i="7"/>
  <c r="C160" i="7"/>
  <c r="D160" i="7"/>
  <c r="E160" i="7"/>
  <c r="F160" i="7"/>
  <c r="G160" i="7"/>
  <c r="H160" i="7"/>
  <c r="I160" i="7"/>
  <c r="J160" i="7"/>
  <c r="K160" i="7"/>
  <c r="L160" i="7"/>
  <c r="M160" i="7"/>
  <c r="N160" i="7"/>
  <c r="O160" i="7"/>
  <c r="P160" i="7"/>
  <c r="Q160" i="7"/>
  <c r="R160" i="7"/>
  <c r="S160" i="7"/>
  <c r="T160" i="7"/>
  <c r="U160" i="7"/>
  <c r="X30" i="9" l="1"/>
  <c r="X29" i="9"/>
  <c r="X28" i="9"/>
  <c r="X27" i="9"/>
  <c r="AA30" i="8"/>
  <c r="AA29" i="8"/>
  <c r="AA28" i="8"/>
  <c r="AA27" i="8"/>
  <c r="AO30" i="7" l="1"/>
  <c r="AK30" i="7"/>
  <c r="AG30" i="7"/>
  <c r="AO29" i="7"/>
  <c r="AK29" i="7"/>
  <c r="AG29" i="7"/>
  <c r="AO28" i="7"/>
  <c r="AK28" i="7"/>
  <c r="AG28" i="7"/>
  <c r="AO27" i="7"/>
  <c r="AK27" i="7"/>
  <c r="AG27" i="7"/>
  <c r="X28" i="6"/>
  <c r="X29" i="6"/>
  <c r="X30" i="6"/>
  <c r="X27" i="6"/>
  <c r="K163" i="6"/>
  <c r="K163" i="9" s="1"/>
  <c r="D163" i="6"/>
  <c r="D163" i="9" s="1"/>
  <c r="C163" i="6"/>
  <c r="C163" i="9" s="1"/>
  <c r="H148" i="6"/>
  <c r="H148" i="9" s="1"/>
  <c r="G148" i="6"/>
  <c r="G148" i="9" s="1"/>
  <c r="K133" i="6"/>
  <c r="K133" i="9" s="1"/>
  <c r="D133" i="6"/>
  <c r="D133" i="9" s="1"/>
  <c r="C133" i="6"/>
  <c r="C133" i="9" s="1"/>
  <c r="H118" i="6"/>
  <c r="H118" i="9" s="1"/>
  <c r="G118" i="6"/>
  <c r="G118" i="9" s="1"/>
  <c r="K103" i="6"/>
  <c r="K103" i="9" s="1"/>
  <c r="D103" i="6"/>
  <c r="D103" i="9" s="1"/>
  <c r="C103" i="6"/>
  <c r="C103" i="9" s="1"/>
  <c r="H88" i="6"/>
  <c r="H88" i="9" s="1"/>
  <c r="G88" i="6"/>
  <c r="G88" i="9" s="1"/>
  <c r="K73" i="6"/>
  <c r="K73" i="9" s="1"/>
  <c r="D73" i="6"/>
  <c r="D73" i="9" s="1"/>
  <c r="C73" i="6"/>
  <c r="C73" i="9" s="1"/>
  <c r="H58" i="6"/>
  <c r="H58" i="9" s="1"/>
  <c r="G58" i="6"/>
  <c r="G58" i="9" s="1"/>
  <c r="K43" i="6"/>
  <c r="K43" i="9" s="1"/>
  <c r="D43" i="6"/>
  <c r="D43" i="9" s="1"/>
  <c r="C43" i="6"/>
  <c r="C43" i="9" s="1"/>
  <c r="H28" i="6"/>
  <c r="H28" i="9" s="1"/>
  <c r="G28" i="6"/>
  <c r="G28" i="9" s="1"/>
  <c r="I14" i="6"/>
  <c r="I15" i="6" s="1"/>
  <c r="E14" i="6"/>
  <c r="E15" i="6" s="1"/>
  <c r="AA29" i="4"/>
  <c r="AA30" i="4"/>
  <c r="AA31" i="4"/>
  <c r="N163" i="4"/>
  <c r="N163" i="8" s="1"/>
  <c r="M163" i="4"/>
  <c r="M163" i="8" s="1"/>
  <c r="H163" i="4"/>
  <c r="H163" i="8" s="1"/>
  <c r="G163" i="4"/>
  <c r="G163" i="8" s="1"/>
  <c r="F163" i="4"/>
  <c r="F163" i="8" s="1"/>
  <c r="E163" i="4"/>
  <c r="E163" i="8" s="1"/>
  <c r="H148" i="4"/>
  <c r="H148" i="8" s="1"/>
  <c r="G148" i="4"/>
  <c r="G148" i="8" s="1"/>
  <c r="H133" i="4"/>
  <c r="H133" i="8" s="1"/>
  <c r="G133" i="4"/>
  <c r="G133" i="8" s="1"/>
  <c r="H118" i="4"/>
  <c r="H118" i="8" s="1"/>
  <c r="G118" i="4"/>
  <c r="G118" i="8" s="1"/>
  <c r="H103" i="4"/>
  <c r="H103" i="8" s="1"/>
  <c r="G103" i="4"/>
  <c r="G103" i="8" s="1"/>
  <c r="H88" i="4"/>
  <c r="H88" i="8" s="1"/>
  <c r="G88" i="4"/>
  <c r="G88" i="8" s="1"/>
  <c r="H73" i="8"/>
  <c r="G73" i="4"/>
  <c r="G73" i="8" s="1"/>
  <c r="H58" i="4"/>
  <c r="H58" i="8" s="1"/>
  <c r="G58" i="4"/>
  <c r="G58" i="8" s="1"/>
  <c r="H43" i="4"/>
  <c r="H43" i="8" s="1"/>
  <c r="G43" i="4"/>
  <c r="G43" i="8" s="1"/>
  <c r="H28" i="4"/>
  <c r="H28" i="8" s="1"/>
  <c r="G28" i="4"/>
  <c r="G28" i="8" s="1"/>
  <c r="AK30" i="5"/>
  <c r="AK27" i="5"/>
  <c r="AK28" i="5"/>
  <c r="U157" i="5"/>
  <c r="T157" i="5"/>
  <c r="S157" i="5"/>
  <c r="R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B157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B156" i="5"/>
  <c r="U155" i="5"/>
  <c r="T155" i="5"/>
  <c r="S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B155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B154" i="5"/>
  <c r="U142" i="5"/>
  <c r="T142" i="5"/>
  <c r="S142" i="5"/>
  <c r="R142" i="5"/>
  <c r="Q142" i="5"/>
  <c r="P142" i="5"/>
  <c r="O142" i="5"/>
  <c r="N142" i="5"/>
  <c r="M142" i="5"/>
  <c r="L142" i="5"/>
  <c r="K142" i="5"/>
  <c r="J142" i="5"/>
  <c r="I142" i="5"/>
  <c r="H142" i="5"/>
  <c r="G142" i="5"/>
  <c r="F142" i="5"/>
  <c r="E142" i="5"/>
  <c r="D142" i="5"/>
  <c r="C142" i="5"/>
  <c r="B142" i="5"/>
  <c r="U141" i="5"/>
  <c r="T141" i="5"/>
  <c r="S141" i="5"/>
  <c r="R141" i="5"/>
  <c r="Q141" i="5"/>
  <c r="P141" i="5"/>
  <c r="O141" i="5"/>
  <c r="N141" i="5"/>
  <c r="M141" i="5"/>
  <c r="L141" i="5"/>
  <c r="K141" i="5"/>
  <c r="J141" i="5"/>
  <c r="I141" i="5"/>
  <c r="H141" i="5"/>
  <c r="G141" i="5"/>
  <c r="F141" i="5"/>
  <c r="E141" i="5"/>
  <c r="D141" i="5"/>
  <c r="C141" i="5"/>
  <c r="B141" i="5"/>
  <c r="U140" i="5"/>
  <c r="T140" i="5"/>
  <c r="S140" i="5"/>
  <c r="R140" i="5"/>
  <c r="Q140" i="5"/>
  <c r="P140" i="5"/>
  <c r="O140" i="5"/>
  <c r="N140" i="5"/>
  <c r="M140" i="5"/>
  <c r="L140" i="5"/>
  <c r="K140" i="5"/>
  <c r="J140" i="5"/>
  <c r="I140" i="5"/>
  <c r="H140" i="5"/>
  <c r="G140" i="5"/>
  <c r="F140" i="5"/>
  <c r="E140" i="5"/>
  <c r="D140" i="5"/>
  <c r="C140" i="5"/>
  <c r="B140" i="5"/>
  <c r="U139" i="5"/>
  <c r="T139" i="5"/>
  <c r="S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B139" i="5"/>
  <c r="U127" i="5"/>
  <c r="T127" i="5"/>
  <c r="S127" i="5"/>
  <c r="R127" i="5"/>
  <c r="Q127" i="5"/>
  <c r="P127" i="5"/>
  <c r="O127" i="5"/>
  <c r="N127" i="5"/>
  <c r="M127" i="5"/>
  <c r="L127" i="5"/>
  <c r="K127" i="5"/>
  <c r="J127" i="5"/>
  <c r="I127" i="5"/>
  <c r="H127" i="5"/>
  <c r="G127" i="5"/>
  <c r="F127" i="5"/>
  <c r="E127" i="5"/>
  <c r="D127" i="5"/>
  <c r="C127" i="5"/>
  <c r="B127" i="5"/>
  <c r="U126" i="5"/>
  <c r="T126" i="5"/>
  <c r="S126" i="5"/>
  <c r="R126" i="5"/>
  <c r="Q126" i="5"/>
  <c r="P126" i="5"/>
  <c r="O126" i="5"/>
  <c r="N126" i="5"/>
  <c r="M126" i="5"/>
  <c r="L126" i="5"/>
  <c r="K126" i="5"/>
  <c r="J126" i="5"/>
  <c r="I126" i="5"/>
  <c r="H126" i="5"/>
  <c r="G126" i="5"/>
  <c r="F126" i="5"/>
  <c r="E126" i="5"/>
  <c r="D126" i="5"/>
  <c r="C126" i="5"/>
  <c r="B126" i="5"/>
  <c r="U125" i="5"/>
  <c r="T125" i="5"/>
  <c r="S125" i="5"/>
  <c r="R125" i="5"/>
  <c r="Q125" i="5"/>
  <c r="P125" i="5"/>
  <c r="O125" i="5"/>
  <c r="N125" i="5"/>
  <c r="M125" i="5"/>
  <c r="L125" i="5"/>
  <c r="K125" i="5"/>
  <c r="J125" i="5"/>
  <c r="I125" i="5"/>
  <c r="H125" i="5"/>
  <c r="G125" i="5"/>
  <c r="F125" i="5"/>
  <c r="E125" i="5"/>
  <c r="D125" i="5"/>
  <c r="C125" i="5"/>
  <c r="B125" i="5"/>
  <c r="U124" i="5"/>
  <c r="T124" i="5"/>
  <c r="S124" i="5"/>
  <c r="R124" i="5"/>
  <c r="Q124" i="5"/>
  <c r="P124" i="5"/>
  <c r="O124" i="5"/>
  <c r="N124" i="5"/>
  <c r="M124" i="5"/>
  <c r="L124" i="5"/>
  <c r="K124" i="5"/>
  <c r="J124" i="5"/>
  <c r="I124" i="5"/>
  <c r="H124" i="5"/>
  <c r="G124" i="5"/>
  <c r="F124" i="5"/>
  <c r="E124" i="5"/>
  <c r="D124" i="5"/>
  <c r="C124" i="5"/>
  <c r="B124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B112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B109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B97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B95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B94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B82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B81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B80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B67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B66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B65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B64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O30" i="5"/>
  <c r="AG30" i="5"/>
  <c r="AO29" i="5"/>
  <c r="AK29" i="5"/>
  <c r="AG29" i="5"/>
  <c r="AO28" i="5"/>
  <c r="AG28" i="5"/>
  <c r="AO27" i="5"/>
  <c r="AG27" i="5"/>
  <c r="K27" i="5" l="1"/>
  <c r="I28" i="4"/>
  <c r="I28" i="8" s="1"/>
  <c r="I43" i="4"/>
  <c r="I43" i="8" s="1"/>
  <c r="I58" i="4"/>
  <c r="I58" i="8" s="1"/>
  <c r="I73" i="4"/>
  <c r="I73" i="8" s="1"/>
  <c r="I88" i="4"/>
  <c r="I88" i="8" s="1"/>
  <c r="I103" i="4"/>
  <c r="I103" i="8" s="1"/>
  <c r="I118" i="4"/>
  <c r="I118" i="8" s="1"/>
  <c r="I133" i="4"/>
  <c r="I133" i="8" s="1"/>
  <c r="I148" i="4"/>
  <c r="I148" i="8" s="1"/>
  <c r="I163" i="4"/>
  <c r="I163" i="8" s="1"/>
  <c r="I28" i="6"/>
  <c r="I28" i="9" s="1"/>
  <c r="E43" i="6"/>
  <c r="E43" i="9" s="1"/>
  <c r="I58" i="6"/>
  <c r="I58" i="9" s="1"/>
  <c r="E73" i="6"/>
  <c r="E73" i="9" s="1"/>
  <c r="I88" i="6"/>
  <c r="I88" i="9" s="1"/>
  <c r="E103" i="6"/>
  <c r="E103" i="9" s="1"/>
  <c r="I118" i="6"/>
  <c r="I118" i="9" s="1"/>
  <c r="E133" i="6"/>
  <c r="E133" i="9" s="1"/>
  <c r="I148" i="6"/>
  <c r="I148" i="9" s="1"/>
  <c r="E163" i="6"/>
  <c r="E163" i="9" s="1"/>
  <c r="B28" i="4"/>
  <c r="B28" i="8" s="1"/>
  <c r="J28" i="4"/>
  <c r="J28" i="8" s="1"/>
  <c r="B43" i="4"/>
  <c r="B43" i="8" s="1"/>
  <c r="J43" i="4"/>
  <c r="J43" i="8" s="1"/>
  <c r="B58" i="4"/>
  <c r="B58" i="8" s="1"/>
  <c r="J58" i="4"/>
  <c r="J58" i="8" s="1"/>
  <c r="B73" i="4"/>
  <c r="B73" i="8" s="1"/>
  <c r="J73" i="4"/>
  <c r="J73" i="8" s="1"/>
  <c r="B88" i="4"/>
  <c r="B88" i="8" s="1"/>
  <c r="J88" i="4"/>
  <c r="J88" i="8" s="1"/>
  <c r="B103" i="4"/>
  <c r="B103" i="8" s="1"/>
  <c r="J103" i="4"/>
  <c r="J103" i="8" s="1"/>
  <c r="B118" i="4"/>
  <c r="B118" i="8" s="1"/>
  <c r="J118" i="4"/>
  <c r="J118" i="8" s="1"/>
  <c r="B133" i="4"/>
  <c r="B133" i="8" s="1"/>
  <c r="J133" i="4"/>
  <c r="J133" i="8" s="1"/>
  <c r="B148" i="4"/>
  <c r="B148" i="8" s="1"/>
  <c r="J148" i="4"/>
  <c r="J148" i="8" s="1"/>
  <c r="B163" i="4"/>
  <c r="B163" i="8" s="1"/>
  <c r="J163" i="4"/>
  <c r="J163" i="8" s="1"/>
  <c r="B28" i="6"/>
  <c r="B28" i="9" s="1"/>
  <c r="J28" i="6"/>
  <c r="J28" i="9" s="1"/>
  <c r="F43" i="6"/>
  <c r="F43" i="9" s="1"/>
  <c r="B58" i="6"/>
  <c r="B58" i="9" s="1"/>
  <c r="J58" i="6"/>
  <c r="J58" i="9" s="1"/>
  <c r="F73" i="6"/>
  <c r="F73" i="9" s="1"/>
  <c r="B88" i="6"/>
  <c r="B88" i="9" s="1"/>
  <c r="J88" i="6"/>
  <c r="J88" i="9" s="1"/>
  <c r="F103" i="6"/>
  <c r="F103" i="9" s="1"/>
  <c r="B118" i="6"/>
  <c r="B118" i="9" s="1"/>
  <c r="J118" i="6"/>
  <c r="J118" i="9" s="1"/>
  <c r="F133" i="6"/>
  <c r="F133" i="9" s="1"/>
  <c r="B148" i="6"/>
  <c r="B148" i="9" s="1"/>
  <c r="B149" i="9" s="1"/>
  <c r="J148" i="6"/>
  <c r="J148" i="9" s="1"/>
  <c r="F163" i="6"/>
  <c r="F163" i="9" s="1"/>
  <c r="C28" i="4"/>
  <c r="C28" i="8" s="1"/>
  <c r="K28" i="4"/>
  <c r="K28" i="8" s="1"/>
  <c r="C43" i="4"/>
  <c r="C43" i="8" s="1"/>
  <c r="K43" i="4"/>
  <c r="K43" i="8" s="1"/>
  <c r="C58" i="4"/>
  <c r="C58" i="8" s="1"/>
  <c r="K58" i="4"/>
  <c r="K58" i="8" s="1"/>
  <c r="C73" i="4"/>
  <c r="C73" i="8" s="1"/>
  <c r="K73" i="4"/>
  <c r="K73" i="8" s="1"/>
  <c r="C88" i="4"/>
  <c r="C88" i="8" s="1"/>
  <c r="K88" i="4"/>
  <c r="K88" i="8" s="1"/>
  <c r="C103" i="4"/>
  <c r="C103" i="8" s="1"/>
  <c r="K103" i="4"/>
  <c r="K103" i="8" s="1"/>
  <c r="C118" i="4"/>
  <c r="C118" i="8" s="1"/>
  <c r="K118" i="4"/>
  <c r="K118" i="8" s="1"/>
  <c r="C133" i="4"/>
  <c r="C133" i="8" s="1"/>
  <c r="K133" i="4"/>
  <c r="K133" i="8" s="1"/>
  <c r="C148" i="4"/>
  <c r="C148" i="8" s="1"/>
  <c r="K148" i="4"/>
  <c r="K148" i="8" s="1"/>
  <c r="C163" i="4"/>
  <c r="C163" i="8" s="1"/>
  <c r="K163" i="4"/>
  <c r="K163" i="8" s="1"/>
  <c r="C28" i="6"/>
  <c r="C28" i="9" s="1"/>
  <c r="K28" i="6"/>
  <c r="K28" i="9" s="1"/>
  <c r="G43" i="6"/>
  <c r="G43" i="9" s="1"/>
  <c r="C58" i="6"/>
  <c r="C58" i="9" s="1"/>
  <c r="K58" i="6"/>
  <c r="K58" i="9" s="1"/>
  <c r="G73" i="6"/>
  <c r="G73" i="9" s="1"/>
  <c r="C88" i="6"/>
  <c r="C88" i="9" s="1"/>
  <c r="K88" i="6"/>
  <c r="K88" i="9" s="1"/>
  <c r="G103" i="6"/>
  <c r="G103" i="9" s="1"/>
  <c r="C118" i="6"/>
  <c r="C118" i="9" s="1"/>
  <c r="K118" i="6"/>
  <c r="K118" i="9" s="1"/>
  <c r="G133" i="6"/>
  <c r="G133" i="9" s="1"/>
  <c r="C148" i="6"/>
  <c r="C148" i="9" s="1"/>
  <c r="K148" i="6"/>
  <c r="K148" i="9" s="1"/>
  <c r="G163" i="6"/>
  <c r="G163" i="9" s="1"/>
  <c r="D28" i="4"/>
  <c r="D28" i="8" s="1"/>
  <c r="L28" i="4"/>
  <c r="L28" i="8" s="1"/>
  <c r="D43" i="4"/>
  <c r="D43" i="8" s="1"/>
  <c r="L43" i="4"/>
  <c r="L43" i="8" s="1"/>
  <c r="D58" i="4"/>
  <c r="D58" i="8" s="1"/>
  <c r="L58" i="4"/>
  <c r="L58" i="8" s="1"/>
  <c r="D73" i="4"/>
  <c r="D73" i="8" s="1"/>
  <c r="L73" i="4"/>
  <c r="L73" i="8" s="1"/>
  <c r="D88" i="4"/>
  <c r="D88" i="8" s="1"/>
  <c r="L88" i="4"/>
  <c r="L88" i="8" s="1"/>
  <c r="D103" i="4"/>
  <c r="D103" i="8" s="1"/>
  <c r="L103" i="4"/>
  <c r="L103" i="8" s="1"/>
  <c r="D118" i="4"/>
  <c r="D118" i="8" s="1"/>
  <c r="L118" i="4"/>
  <c r="L118" i="8" s="1"/>
  <c r="D133" i="4"/>
  <c r="D133" i="8" s="1"/>
  <c r="L133" i="4"/>
  <c r="L133" i="8" s="1"/>
  <c r="D148" i="4"/>
  <c r="D148" i="8" s="1"/>
  <c r="L148" i="4"/>
  <c r="L148" i="8" s="1"/>
  <c r="D163" i="4"/>
  <c r="D163" i="8" s="1"/>
  <c r="L163" i="4"/>
  <c r="L163" i="8" s="1"/>
  <c r="D28" i="6"/>
  <c r="D28" i="9" s="1"/>
  <c r="H43" i="6"/>
  <c r="H43" i="9" s="1"/>
  <c r="D58" i="6"/>
  <c r="D58" i="9" s="1"/>
  <c r="H73" i="6"/>
  <c r="H73" i="9" s="1"/>
  <c r="D88" i="6"/>
  <c r="D88" i="9" s="1"/>
  <c r="H103" i="6"/>
  <c r="H103" i="9" s="1"/>
  <c r="D118" i="6"/>
  <c r="D118" i="9" s="1"/>
  <c r="H133" i="6"/>
  <c r="H133" i="9" s="1"/>
  <c r="D148" i="6"/>
  <c r="D148" i="9" s="1"/>
  <c r="H163" i="6"/>
  <c r="H163" i="9" s="1"/>
  <c r="E28" i="4"/>
  <c r="E28" i="8" s="1"/>
  <c r="M28" i="4"/>
  <c r="M28" i="8" s="1"/>
  <c r="E43" i="4"/>
  <c r="E43" i="8" s="1"/>
  <c r="M43" i="4"/>
  <c r="M43" i="8" s="1"/>
  <c r="E58" i="4"/>
  <c r="E58" i="8" s="1"/>
  <c r="M58" i="4"/>
  <c r="M58" i="8" s="1"/>
  <c r="E73" i="4"/>
  <c r="E73" i="8" s="1"/>
  <c r="M73" i="4"/>
  <c r="M73" i="8" s="1"/>
  <c r="E88" i="4"/>
  <c r="E88" i="8" s="1"/>
  <c r="M88" i="4"/>
  <c r="M88" i="8" s="1"/>
  <c r="E103" i="4"/>
  <c r="E103" i="8" s="1"/>
  <c r="M103" i="4"/>
  <c r="M103" i="8" s="1"/>
  <c r="E118" i="4"/>
  <c r="E118" i="8" s="1"/>
  <c r="M118" i="4"/>
  <c r="M118" i="8" s="1"/>
  <c r="E133" i="4"/>
  <c r="E133" i="8" s="1"/>
  <c r="M133" i="4"/>
  <c r="M133" i="8" s="1"/>
  <c r="E148" i="4"/>
  <c r="E148" i="8" s="1"/>
  <c r="M148" i="4"/>
  <c r="M148" i="8" s="1"/>
  <c r="E28" i="6"/>
  <c r="E28" i="9" s="1"/>
  <c r="I43" i="6"/>
  <c r="I43" i="9" s="1"/>
  <c r="E58" i="6"/>
  <c r="E58" i="9" s="1"/>
  <c r="I73" i="6"/>
  <c r="I73" i="9" s="1"/>
  <c r="E88" i="6"/>
  <c r="E88" i="9" s="1"/>
  <c r="I103" i="6"/>
  <c r="I103" i="9" s="1"/>
  <c r="E118" i="6"/>
  <c r="E118" i="9" s="1"/>
  <c r="I133" i="6"/>
  <c r="I133" i="9" s="1"/>
  <c r="E148" i="6"/>
  <c r="E148" i="9" s="1"/>
  <c r="I163" i="6"/>
  <c r="I163" i="9" s="1"/>
  <c r="F28" i="4"/>
  <c r="F28" i="8" s="1"/>
  <c r="N28" i="4"/>
  <c r="N28" i="8" s="1"/>
  <c r="F43" i="4"/>
  <c r="F43" i="8" s="1"/>
  <c r="N43" i="4"/>
  <c r="N43" i="8" s="1"/>
  <c r="F58" i="4"/>
  <c r="F58" i="8" s="1"/>
  <c r="N58" i="4"/>
  <c r="N58" i="8" s="1"/>
  <c r="F73" i="4"/>
  <c r="F73" i="8" s="1"/>
  <c r="N73" i="4"/>
  <c r="N73" i="8" s="1"/>
  <c r="F88" i="4"/>
  <c r="F88" i="8" s="1"/>
  <c r="N88" i="4"/>
  <c r="N88" i="8" s="1"/>
  <c r="F103" i="4"/>
  <c r="F103" i="8" s="1"/>
  <c r="N103" i="4"/>
  <c r="N103" i="8" s="1"/>
  <c r="F118" i="4"/>
  <c r="F118" i="8" s="1"/>
  <c r="N118" i="4"/>
  <c r="N118" i="8" s="1"/>
  <c r="F133" i="4"/>
  <c r="F133" i="8" s="1"/>
  <c r="N133" i="4"/>
  <c r="N133" i="8" s="1"/>
  <c r="F148" i="4"/>
  <c r="F148" i="8" s="1"/>
  <c r="N148" i="4"/>
  <c r="N148" i="8" s="1"/>
  <c r="F28" i="6"/>
  <c r="F28" i="9" s="1"/>
  <c r="B43" i="6"/>
  <c r="B43" i="9" s="1"/>
  <c r="J43" i="6"/>
  <c r="J43" i="9" s="1"/>
  <c r="F58" i="6"/>
  <c r="F58" i="9" s="1"/>
  <c r="B73" i="6"/>
  <c r="B73" i="9" s="1"/>
  <c r="J73" i="6"/>
  <c r="J73" i="9" s="1"/>
  <c r="F88" i="6"/>
  <c r="F88" i="9" s="1"/>
  <c r="B103" i="6"/>
  <c r="B103" i="9" s="1"/>
  <c r="J103" i="6"/>
  <c r="J103" i="9" s="1"/>
  <c r="F118" i="6"/>
  <c r="F118" i="9" s="1"/>
  <c r="B133" i="6"/>
  <c r="B133" i="9" s="1"/>
  <c r="J133" i="6"/>
  <c r="J133" i="9" s="1"/>
  <c r="F148" i="6"/>
  <c r="F148" i="9" s="1"/>
  <c r="B163" i="6"/>
  <c r="B163" i="9" s="1"/>
  <c r="B164" i="9" s="1"/>
  <c r="J163" i="6"/>
  <c r="J163" i="9" s="1"/>
  <c r="C104" i="4"/>
  <c r="C105" i="4" s="1"/>
  <c r="C119" i="4"/>
  <c r="C120" i="4" s="1"/>
  <c r="G119" i="4"/>
  <c r="G120" i="4" s="1"/>
  <c r="C29" i="6"/>
  <c r="C30" i="6" s="1"/>
  <c r="G29" i="6"/>
  <c r="G30" i="6" s="1"/>
  <c r="C74" i="6"/>
  <c r="C75" i="6" s="1"/>
  <c r="G104" i="6"/>
  <c r="G105" i="6" s="1"/>
  <c r="K104" i="6"/>
  <c r="K105" i="6" s="1"/>
  <c r="C134" i="6"/>
  <c r="C135" i="6" s="1"/>
  <c r="G149" i="6"/>
  <c r="G150" i="6" s="1"/>
  <c r="K164" i="6"/>
  <c r="K28" i="5"/>
  <c r="K28" i="7"/>
  <c r="K29" i="7" s="1"/>
  <c r="K30" i="7" s="1"/>
  <c r="I29" i="6"/>
  <c r="I30" i="6" s="1"/>
  <c r="D44" i="4"/>
  <c r="D45" i="4" s="1"/>
  <c r="H44" i="4"/>
  <c r="H45" i="4" s="1"/>
  <c r="L59" i="4"/>
  <c r="L60" i="4" s="1"/>
  <c r="L74" i="4"/>
  <c r="L75" i="4" s="1"/>
  <c r="D104" i="4"/>
  <c r="D105" i="4" s="1"/>
  <c r="H104" i="4"/>
  <c r="H105" i="4" s="1"/>
  <c r="H29" i="6"/>
  <c r="H30" i="6" s="1"/>
  <c r="D44" i="6"/>
  <c r="D45" i="6" s="1"/>
  <c r="H89" i="6"/>
  <c r="H90" i="6" s="1"/>
  <c r="H119" i="6"/>
  <c r="H120" i="6" s="1"/>
  <c r="H149" i="6"/>
  <c r="H150" i="6" s="1"/>
  <c r="I44" i="4"/>
  <c r="I45" i="4" s="1"/>
  <c r="M44" i="4"/>
  <c r="M45" i="4" s="1"/>
  <c r="M104" i="4"/>
  <c r="M105" i="4" s="1"/>
  <c r="M164" i="4"/>
  <c r="E44" i="6"/>
  <c r="E45" i="6" s="1"/>
  <c r="I104" i="6"/>
  <c r="I105" i="6" s="1"/>
  <c r="I134" i="6"/>
  <c r="I135" i="6" s="1"/>
  <c r="K41" i="5"/>
  <c r="K55" i="5"/>
  <c r="J13" i="5"/>
  <c r="J13" i="7" s="1"/>
  <c r="J14" i="7" s="1"/>
  <c r="J15" i="7" s="1"/>
  <c r="J44" i="4"/>
  <c r="J45" i="4" s="1"/>
  <c r="J59" i="4"/>
  <c r="J60" i="4" s="1"/>
  <c r="J119" i="4"/>
  <c r="J120" i="4" s="1"/>
  <c r="J29" i="6"/>
  <c r="J30" i="6" s="1"/>
  <c r="N14" i="4"/>
  <c r="N15" i="4" s="1"/>
  <c r="H14" i="4"/>
  <c r="H15" i="4" s="1"/>
  <c r="I14" i="4"/>
  <c r="I15" i="4" s="1"/>
  <c r="L14" i="4"/>
  <c r="L15" i="4" s="1"/>
  <c r="E14" i="4"/>
  <c r="E15" i="4" s="1"/>
  <c r="F14" i="4"/>
  <c r="F15" i="4" s="1"/>
  <c r="D14" i="4"/>
  <c r="D15" i="4" s="1"/>
  <c r="B14" i="4"/>
  <c r="B15" i="4" s="1"/>
  <c r="B29" i="6"/>
  <c r="B30" i="6" s="1"/>
  <c r="E55" i="5"/>
  <c r="K100" i="5"/>
  <c r="K103" i="7" s="1"/>
  <c r="K104" i="7" s="1"/>
  <c r="K105" i="7" s="1"/>
  <c r="K115" i="5"/>
  <c r="K118" i="7" s="1"/>
  <c r="K119" i="7" s="1"/>
  <c r="K120" i="7" s="1"/>
  <c r="K160" i="5"/>
  <c r="K163" i="7" s="1"/>
  <c r="K164" i="7" s="1"/>
  <c r="K165" i="7" s="1"/>
  <c r="I160" i="5"/>
  <c r="H27" i="5"/>
  <c r="L27" i="5"/>
  <c r="H55" i="5"/>
  <c r="L55" i="5"/>
  <c r="H70" i="5"/>
  <c r="H73" i="7" s="1"/>
  <c r="H74" i="7" s="1"/>
  <c r="H75" i="7" s="1"/>
  <c r="H115" i="5"/>
  <c r="H118" i="7" s="1"/>
  <c r="H119" i="7" s="1"/>
  <c r="H120" i="7" s="1"/>
  <c r="L115" i="5"/>
  <c r="L118" i="7" s="1"/>
  <c r="L119" i="7" s="1"/>
  <c r="L120" i="7" s="1"/>
  <c r="L130" i="5"/>
  <c r="L133" i="7" s="1"/>
  <c r="L134" i="7" s="1"/>
  <c r="L135" i="7" s="1"/>
  <c r="I70" i="5"/>
  <c r="I73" i="7" s="1"/>
  <c r="I74" i="7" s="1"/>
  <c r="I75" i="7" s="1"/>
  <c r="I85" i="5"/>
  <c r="I88" i="7" s="1"/>
  <c r="I89" i="7" s="1"/>
  <c r="I90" i="7" s="1"/>
  <c r="I130" i="5"/>
  <c r="I133" i="7" s="1"/>
  <c r="I134" i="7" s="1"/>
  <c r="I135" i="7" s="1"/>
  <c r="I145" i="5"/>
  <c r="I148" i="7" s="1"/>
  <c r="I149" i="7" s="1"/>
  <c r="I150" i="7" s="1"/>
  <c r="J41" i="5"/>
  <c r="J85" i="5"/>
  <c r="J88" i="7" s="1"/>
  <c r="J89" i="7" s="1"/>
  <c r="J90" i="7" s="1"/>
  <c r="J100" i="5"/>
  <c r="J103" i="7" s="1"/>
  <c r="J104" i="7" s="1"/>
  <c r="J105" i="7" s="1"/>
  <c r="J160" i="5"/>
  <c r="J163" i="7" s="1"/>
  <c r="J164" i="7" s="1"/>
  <c r="J165" i="7" s="1"/>
  <c r="D160" i="5"/>
  <c r="D163" i="7" s="1"/>
  <c r="D164" i="7" s="1"/>
  <c r="D165" i="7" s="1"/>
  <c r="Q160" i="5"/>
  <c r="Q163" i="7" s="1"/>
  <c r="Q164" i="7" s="1"/>
  <c r="Q165" i="7" s="1"/>
  <c r="F160" i="5"/>
  <c r="F163" i="7" s="1"/>
  <c r="F164" i="7" s="1"/>
  <c r="F165" i="7" s="1"/>
  <c r="K13" i="5"/>
  <c r="L70" i="5"/>
  <c r="L73" i="7" s="1"/>
  <c r="L74" i="7" s="1"/>
  <c r="L75" i="7" s="1"/>
  <c r="H130" i="5"/>
  <c r="H133" i="7" s="1"/>
  <c r="H134" i="7" s="1"/>
  <c r="H135" i="7" s="1"/>
  <c r="J145" i="5"/>
  <c r="J148" i="7" s="1"/>
  <c r="J149" i="7" s="1"/>
  <c r="J150" i="7" s="1"/>
  <c r="K29" i="6"/>
  <c r="K30" i="6" s="1"/>
  <c r="P13" i="5"/>
  <c r="P13" i="7" s="1"/>
  <c r="P14" i="7" s="1"/>
  <c r="P15" i="7" s="1"/>
  <c r="T27" i="5"/>
  <c r="T28" i="7" s="1"/>
  <c r="T29" i="7" s="1"/>
  <c r="T30" i="7" s="1"/>
  <c r="C55" i="5"/>
  <c r="C58" i="7" s="1"/>
  <c r="C59" i="7" s="1"/>
  <c r="C60" i="7" s="1"/>
  <c r="D70" i="5"/>
  <c r="T70" i="5"/>
  <c r="B100" i="5"/>
  <c r="C115" i="5"/>
  <c r="G115" i="5"/>
  <c r="O115" i="5"/>
  <c r="D130" i="5"/>
  <c r="P130" i="5"/>
  <c r="B160" i="5"/>
  <c r="R160" i="5"/>
  <c r="G13" i="5"/>
  <c r="G13" i="7" s="1"/>
  <c r="G14" i="7" s="1"/>
  <c r="G15" i="7" s="1"/>
  <c r="O13" i="5"/>
  <c r="O13" i="7" s="1"/>
  <c r="O14" i="7" s="1"/>
  <c r="O15" i="7" s="1"/>
  <c r="Q27" i="5"/>
  <c r="Q28" i="7" s="1"/>
  <c r="Q29" i="7" s="1"/>
  <c r="Q30" i="7" s="1"/>
  <c r="S41" i="5"/>
  <c r="S43" i="7" s="1"/>
  <c r="S44" i="7" s="1"/>
  <c r="S45" i="7" s="1"/>
  <c r="P55" i="5"/>
  <c r="Q70" i="5"/>
  <c r="R85" i="5"/>
  <c r="S100" i="5"/>
  <c r="P115" i="5"/>
  <c r="T115" i="5"/>
  <c r="E130" i="5"/>
  <c r="M130" i="5"/>
  <c r="R145" i="5"/>
  <c r="C160" i="5"/>
  <c r="G160" i="5"/>
  <c r="O160" i="5"/>
  <c r="S160" i="5"/>
  <c r="I13" i="5"/>
  <c r="I13" i="7" s="1"/>
  <c r="I14" i="7" s="1"/>
  <c r="I15" i="7" s="1"/>
  <c r="N13" i="5"/>
  <c r="N13" i="7" s="1"/>
  <c r="N14" i="7" s="1"/>
  <c r="N15" i="7" s="1"/>
  <c r="M27" i="5"/>
  <c r="M28" i="7" s="1"/>
  <c r="M29" i="7" s="1"/>
  <c r="M30" i="7" s="1"/>
  <c r="B70" i="5"/>
  <c r="F70" i="5"/>
  <c r="J70" i="5"/>
  <c r="N70" i="5"/>
  <c r="R70" i="5"/>
  <c r="C85" i="5"/>
  <c r="G85" i="5"/>
  <c r="K85" i="5"/>
  <c r="O85" i="5"/>
  <c r="S85" i="5"/>
  <c r="D100" i="5"/>
  <c r="H100" i="5"/>
  <c r="L100" i="5"/>
  <c r="P100" i="5"/>
  <c r="T100" i="5"/>
  <c r="E115" i="5"/>
  <c r="I115" i="5"/>
  <c r="M115" i="5"/>
  <c r="Q115" i="5"/>
  <c r="B130" i="5"/>
  <c r="F130" i="5"/>
  <c r="J130" i="5"/>
  <c r="N130" i="5"/>
  <c r="R130" i="5"/>
  <c r="C145" i="5"/>
  <c r="G145" i="5"/>
  <c r="K145" i="5"/>
  <c r="O145" i="5"/>
  <c r="S145" i="5"/>
  <c r="H160" i="5"/>
  <c r="L160" i="5"/>
  <c r="P160" i="5"/>
  <c r="T160" i="5"/>
  <c r="D13" i="5"/>
  <c r="D13" i="7" s="1"/>
  <c r="D14" i="7" s="1"/>
  <c r="D15" i="7" s="1"/>
  <c r="T13" i="5"/>
  <c r="T13" i="7" s="1"/>
  <c r="T14" i="7" s="1"/>
  <c r="T15" i="7" s="1"/>
  <c r="C27" i="5"/>
  <c r="C28" i="7" s="1"/>
  <c r="C29" i="7" s="1"/>
  <c r="C30" i="7" s="1"/>
  <c r="G27" i="5"/>
  <c r="G28" i="7" s="1"/>
  <c r="G29" i="7" s="1"/>
  <c r="G30" i="7" s="1"/>
  <c r="P27" i="5"/>
  <c r="P28" i="7" s="1"/>
  <c r="P29" i="7" s="1"/>
  <c r="P30" i="7" s="1"/>
  <c r="F41" i="5"/>
  <c r="F43" i="7" s="1"/>
  <c r="F44" i="7" s="1"/>
  <c r="F45" i="7" s="1"/>
  <c r="N41" i="5"/>
  <c r="N43" i="7" s="1"/>
  <c r="N44" i="7" s="1"/>
  <c r="N45" i="7" s="1"/>
  <c r="R41" i="5"/>
  <c r="R43" i="7" s="1"/>
  <c r="R44" i="7" s="1"/>
  <c r="R45" i="7" s="1"/>
  <c r="G55" i="5"/>
  <c r="O55" i="5"/>
  <c r="S55" i="5"/>
  <c r="P70" i="5"/>
  <c r="E85" i="5"/>
  <c r="M85" i="5"/>
  <c r="Q85" i="5"/>
  <c r="F100" i="5"/>
  <c r="N100" i="5"/>
  <c r="R100" i="5"/>
  <c r="S115" i="5"/>
  <c r="T130" i="5"/>
  <c r="E145" i="5"/>
  <c r="M145" i="5"/>
  <c r="Q145" i="5"/>
  <c r="N160" i="5"/>
  <c r="I14" i="9"/>
  <c r="I15" i="9" s="1"/>
  <c r="O27" i="5"/>
  <c r="O28" i="7" s="1"/>
  <c r="O29" i="7" s="1"/>
  <c r="O30" i="7" s="1"/>
  <c r="C13" i="5"/>
  <c r="C13" i="7" s="1"/>
  <c r="C14" i="7" s="1"/>
  <c r="C15" i="7" s="1"/>
  <c r="S13" i="5"/>
  <c r="S13" i="7" s="1"/>
  <c r="S14" i="7" s="1"/>
  <c r="S15" i="7" s="1"/>
  <c r="D27" i="5"/>
  <c r="D28" i="7" s="1"/>
  <c r="D29" i="7" s="1"/>
  <c r="D30" i="7" s="1"/>
  <c r="C41" i="5"/>
  <c r="C43" i="7" s="1"/>
  <c r="C44" i="7" s="1"/>
  <c r="C45" i="7" s="1"/>
  <c r="G41" i="5"/>
  <c r="G43" i="7" s="1"/>
  <c r="G44" i="7" s="1"/>
  <c r="G45" i="7" s="1"/>
  <c r="O41" i="5"/>
  <c r="O43" i="7" s="1"/>
  <c r="O44" i="7" s="1"/>
  <c r="O45" i="7" s="1"/>
  <c r="D55" i="5"/>
  <c r="T55" i="5"/>
  <c r="E70" i="5"/>
  <c r="M70" i="5"/>
  <c r="B85" i="5"/>
  <c r="F85" i="5"/>
  <c r="N85" i="5"/>
  <c r="C100" i="5"/>
  <c r="G100" i="5"/>
  <c r="O100" i="5"/>
  <c r="D115" i="5"/>
  <c r="Q130" i="5"/>
  <c r="B145" i="5"/>
  <c r="F145" i="5"/>
  <c r="N145" i="5"/>
  <c r="F13" i="5"/>
  <c r="F13" i="7" s="1"/>
  <c r="F14" i="7" s="1"/>
  <c r="F15" i="7" s="1"/>
  <c r="H13" i="5"/>
  <c r="H13" i="7" s="1"/>
  <c r="H14" i="7" s="1"/>
  <c r="H15" i="7" s="1"/>
  <c r="R13" i="5"/>
  <c r="R13" i="7" s="1"/>
  <c r="R14" i="7" s="1"/>
  <c r="R15" i="7" s="1"/>
  <c r="E27" i="5"/>
  <c r="E28" i="7" s="1"/>
  <c r="E29" i="7" s="1"/>
  <c r="E30" i="7" s="1"/>
  <c r="I27" i="5"/>
  <c r="I28" i="7" s="1"/>
  <c r="I29" i="7" s="1"/>
  <c r="I30" i="7" s="1"/>
  <c r="R27" i="5"/>
  <c r="R28" i="7" s="1"/>
  <c r="R29" i="7" s="1"/>
  <c r="R30" i="7" s="1"/>
  <c r="D41" i="5"/>
  <c r="D43" i="7" s="1"/>
  <c r="D44" i="7" s="1"/>
  <c r="D45" i="7" s="1"/>
  <c r="H41" i="5"/>
  <c r="H43" i="7" s="1"/>
  <c r="H44" i="7" s="1"/>
  <c r="H45" i="7" s="1"/>
  <c r="L41" i="5"/>
  <c r="L43" i="7" s="1"/>
  <c r="L44" i="7" s="1"/>
  <c r="L45" i="7" s="1"/>
  <c r="P41" i="5"/>
  <c r="P43" i="7" s="1"/>
  <c r="P44" i="7" s="1"/>
  <c r="P45" i="7" s="1"/>
  <c r="T41" i="5"/>
  <c r="T43" i="7" s="1"/>
  <c r="T44" i="7" s="1"/>
  <c r="T45" i="7" s="1"/>
  <c r="I55" i="5"/>
  <c r="M55" i="5"/>
  <c r="Q55" i="5"/>
  <c r="B13" i="5"/>
  <c r="B13" i="7" s="1"/>
  <c r="B41" i="5"/>
  <c r="B43" i="7" s="1"/>
  <c r="E13" i="5"/>
  <c r="E13" i="7" s="1"/>
  <c r="E14" i="7" s="1"/>
  <c r="E15" i="7" s="1"/>
  <c r="L13" i="5"/>
  <c r="L13" i="7" s="1"/>
  <c r="L14" i="7" s="1"/>
  <c r="L15" i="7" s="1"/>
  <c r="M13" i="5"/>
  <c r="M13" i="7" s="1"/>
  <c r="M14" i="7" s="1"/>
  <c r="M15" i="7" s="1"/>
  <c r="Q13" i="5"/>
  <c r="Q13" i="7" s="1"/>
  <c r="Q14" i="7" s="1"/>
  <c r="Q15" i="7" s="1"/>
  <c r="B27" i="5"/>
  <c r="B28" i="7" s="1"/>
  <c r="F27" i="5"/>
  <c r="F28" i="7" s="1"/>
  <c r="F29" i="7" s="1"/>
  <c r="F30" i="7" s="1"/>
  <c r="J27" i="5"/>
  <c r="J28" i="7" s="1"/>
  <c r="J29" i="7" s="1"/>
  <c r="J30" i="7" s="1"/>
  <c r="N27" i="5"/>
  <c r="N28" i="7" s="1"/>
  <c r="N29" i="7" s="1"/>
  <c r="N30" i="7" s="1"/>
  <c r="S27" i="5"/>
  <c r="S28" i="7" s="1"/>
  <c r="S29" i="7" s="1"/>
  <c r="S30" i="7" s="1"/>
  <c r="E41" i="5"/>
  <c r="E43" i="7" s="1"/>
  <c r="E44" i="7" s="1"/>
  <c r="E45" i="7" s="1"/>
  <c r="I41" i="5"/>
  <c r="I43" i="7" s="1"/>
  <c r="I44" i="7" s="1"/>
  <c r="I45" i="7" s="1"/>
  <c r="M41" i="5"/>
  <c r="M43" i="7" s="1"/>
  <c r="M44" i="7" s="1"/>
  <c r="M45" i="7" s="1"/>
  <c r="Q41" i="5"/>
  <c r="Q43" i="7" s="1"/>
  <c r="Q44" i="7" s="1"/>
  <c r="Q45" i="7" s="1"/>
  <c r="B55" i="5"/>
  <c r="F55" i="5"/>
  <c r="J55" i="5"/>
  <c r="N55" i="5"/>
  <c r="R55" i="5"/>
  <c r="C70" i="5"/>
  <c r="G70" i="5"/>
  <c r="K70" i="5"/>
  <c r="O70" i="5"/>
  <c r="S70" i="5"/>
  <c r="D85" i="5"/>
  <c r="H85" i="5"/>
  <c r="L85" i="5"/>
  <c r="P85" i="5"/>
  <c r="T85" i="5"/>
  <c r="E100" i="5"/>
  <c r="I100" i="5"/>
  <c r="M100" i="5"/>
  <c r="Q100" i="5"/>
  <c r="B115" i="5"/>
  <c r="F115" i="5"/>
  <c r="J115" i="5"/>
  <c r="N115" i="5"/>
  <c r="R115" i="5"/>
  <c r="C130" i="5"/>
  <c r="G130" i="5"/>
  <c r="K130" i="5"/>
  <c r="O130" i="5"/>
  <c r="S130" i="5"/>
  <c r="D145" i="5"/>
  <c r="H145" i="5"/>
  <c r="L145" i="5"/>
  <c r="P145" i="5"/>
  <c r="T145" i="5"/>
  <c r="E160" i="5"/>
  <c r="M160" i="5"/>
  <c r="E14" i="9"/>
  <c r="E15" i="9" s="1"/>
  <c r="K74" i="6"/>
  <c r="K75" i="6" s="1"/>
  <c r="C14" i="6"/>
  <c r="C15" i="6" s="1"/>
  <c r="G14" i="6"/>
  <c r="G15" i="6" s="1"/>
  <c r="K14" i="6"/>
  <c r="K15" i="6" s="1"/>
  <c r="H164" i="6"/>
  <c r="D164" i="6"/>
  <c r="D134" i="6"/>
  <c r="D135" i="6" s="1"/>
  <c r="D119" i="6"/>
  <c r="D120" i="6" s="1"/>
  <c r="H104" i="6"/>
  <c r="H105" i="6" s="1"/>
  <c r="D104" i="6"/>
  <c r="D105" i="6" s="1"/>
  <c r="D89" i="6"/>
  <c r="D90" i="6" s="1"/>
  <c r="G164" i="6"/>
  <c r="K149" i="6"/>
  <c r="K150" i="6" s="1"/>
  <c r="K134" i="6"/>
  <c r="K135" i="6" s="1"/>
  <c r="G119" i="6"/>
  <c r="G120" i="6" s="1"/>
  <c r="C44" i="6"/>
  <c r="C45" i="6" s="1"/>
  <c r="C104" i="6"/>
  <c r="C105" i="6" s="1"/>
  <c r="D14" i="6"/>
  <c r="D15" i="6" s="1"/>
  <c r="H14" i="6"/>
  <c r="H15" i="6" s="1"/>
  <c r="H44" i="6"/>
  <c r="H45" i="6" s="1"/>
  <c r="D74" i="6"/>
  <c r="D75" i="6" s="1"/>
  <c r="F74" i="6"/>
  <c r="F75" i="6" s="1"/>
  <c r="G74" i="6"/>
  <c r="G75" i="6" s="1"/>
  <c r="F89" i="6"/>
  <c r="F90" i="6" s="1"/>
  <c r="J89" i="6"/>
  <c r="J90" i="6" s="1"/>
  <c r="J119" i="6"/>
  <c r="J120" i="6" s="1"/>
  <c r="J134" i="6"/>
  <c r="J135" i="6" s="1"/>
  <c r="J164" i="6"/>
  <c r="B14" i="6"/>
  <c r="B15" i="6" s="1"/>
  <c r="F14" i="6"/>
  <c r="F15" i="6" s="1"/>
  <c r="J14" i="6"/>
  <c r="J15" i="6" s="1"/>
  <c r="C164" i="6"/>
  <c r="C149" i="6"/>
  <c r="C150" i="6" s="1"/>
  <c r="C119" i="6"/>
  <c r="C120" i="6" s="1"/>
  <c r="J44" i="6"/>
  <c r="J45" i="6" s="1"/>
  <c r="B74" i="6"/>
  <c r="B75" i="6" s="1"/>
  <c r="H74" i="6"/>
  <c r="H75" i="6" s="1"/>
  <c r="E104" i="6"/>
  <c r="E105" i="6" s="1"/>
  <c r="E119" i="6"/>
  <c r="E120" i="6" s="1"/>
  <c r="I119" i="6"/>
  <c r="I120" i="6" s="1"/>
  <c r="E134" i="6"/>
  <c r="E135" i="6" s="1"/>
  <c r="E164" i="6"/>
  <c r="B119" i="6"/>
  <c r="B120" i="6" s="1"/>
  <c r="B149" i="6"/>
  <c r="B150" i="6" s="1"/>
  <c r="B29" i="4"/>
  <c r="B30" i="4" s="1"/>
  <c r="M14" i="4"/>
  <c r="M15" i="4" s="1"/>
  <c r="J74" i="4"/>
  <c r="J75" i="4" s="1"/>
  <c r="M89" i="4"/>
  <c r="M90" i="4" s="1"/>
  <c r="J14" i="4"/>
  <c r="J15" i="4" s="1"/>
  <c r="K164" i="4"/>
  <c r="G164" i="4"/>
  <c r="G149" i="4"/>
  <c r="G150" i="4" s="1"/>
  <c r="G134" i="4"/>
  <c r="G135" i="4" s="1"/>
  <c r="K104" i="4"/>
  <c r="K105" i="4" s="1"/>
  <c r="G104" i="4"/>
  <c r="G105" i="4" s="1"/>
  <c r="N164" i="4"/>
  <c r="N119" i="4"/>
  <c r="N120" i="4" s="1"/>
  <c r="C14" i="4"/>
  <c r="C15" i="4" s="1"/>
  <c r="G14" i="4"/>
  <c r="G15" i="4" s="1"/>
  <c r="K14" i="4"/>
  <c r="K15" i="4" s="1"/>
  <c r="G29" i="4"/>
  <c r="G30" i="4" s="1"/>
  <c r="C44" i="4"/>
  <c r="C45" i="4" s="1"/>
  <c r="G44" i="4"/>
  <c r="G45" i="4" s="1"/>
  <c r="B59" i="4"/>
  <c r="B60" i="4" s="1"/>
  <c r="G59" i="4"/>
  <c r="G60" i="4" s="1"/>
  <c r="D74" i="4"/>
  <c r="D75" i="4" s="1"/>
  <c r="G89" i="4"/>
  <c r="G90" i="4" s="1"/>
  <c r="H29" i="4"/>
  <c r="H30" i="4" s="1"/>
  <c r="H59" i="4"/>
  <c r="H60" i="4" s="1"/>
  <c r="H89" i="4"/>
  <c r="H90" i="4" s="1"/>
  <c r="L89" i="4"/>
  <c r="L90" i="4" s="1"/>
  <c r="C89" i="4"/>
  <c r="C90" i="4" s="1"/>
  <c r="J104" i="4"/>
  <c r="J105" i="4" s="1"/>
  <c r="C134" i="4"/>
  <c r="C135" i="4" s="1"/>
  <c r="F164" i="4"/>
  <c r="B134" i="4"/>
  <c r="B135" i="4" s="1"/>
  <c r="E164" i="4"/>
  <c r="E119" i="4"/>
  <c r="E120" i="4" s="1"/>
  <c r="E44" i="4"/>
  <c r="E45" i="4" s="1"/>
  <c r="E59" i="4"/>
  <c r="E60" i="4" s="1"/>
  <c r="G74" i="4"/>
  <c r="G75" i="4" s="1"/>
  <c r="M74" i="4"/>
  <c r="M75" i="4" s="1"/>
  <c r="J89" i="4"/>
  <c r="J90" i="4" s="1"/>
  <c r="E104" i="4"/>
  <c r="E105" i="4" s="1"/>
  <c r="M149" i="4"/>
  <c r="M150" i="4" s="1"/>
  <c r="F59" i="4"/>
  <c r="F60" i="4" s="1"/>
  <c r="H74" i="4"/>
  <c r="H75" i="4" s="1"/>
  <c r="I74" i="4"/>
  <c r="I75" i="4" s="1"/>
  <c r="F89" i="4"/>
  <c r="F90" i="4" s="1"/>
  <c r="H119" i="4"/>
  <c r="H120" i="4" s="1"/>
  <c r="D134" i="4"/>
  <c r="D135" i="4" s="1"/>
  <c r="H134" i="4"/>
  <c r="H135" i="4" s="1"/>
  <c r="L134" i="4"/>
  <c r="L135" i="4" s="1"/>
  <c r="H149" i="4"/>
  <c r="H150" i="4" s="1"/>
  <c r="D164" i="4"/>
  <c r="H164" i="4"/>
  <c r="L164" i="4"/>
  <c r="I164" i="4"/>
  <c r="P40" i="17"/>
  <c r="O40" i="17"/>
  <c r="D14" i="17"/>
  <c r="K14" i="17"/>
  <c r="M14" i="17" s="1"/>
  <c r="T14" i="17" s="1"/>
  <c r="O14" i="17"/>
  <c r="C14" i="17" s="1"/>
  <c r="P14" i="17"/>
  <c r="S14" i="17"/>
  <c r="D16" i="17"/>
  <c r="K16" i="17"/>
  <c r="M16" i="17" s="1"/>
  <c r="T16" i="17" s="1"/>
  <c r="O16" i="17"/>
  <c r="C16" i="17" s="1"/>
  <c r="P16" i="17"/>
  <c r="D18" i="17"/>
  <c r="K18" i="17"/>
  <c r="B18" i="17" s="1"/>
  <c r="O18" i="17"/>
  <c r="C18" i="17" s="1"/>
  <c r="P18" i="17"/>
  <c r="D20" i="17"/>
  <c r="I20" i="17"/>
  <c r="P20" i="17" s="1"/>
  <c r="K20" i="17"/>
  <c r="M20" i="17" s="1"/>
  <c r="T20" i="17" s="1"/>
  <c r="O20" i="17"/>
  <c r="C20" i="17" s="1"/>
  <c r="D22" i="17"/>
  <c r="I22" i="17"/>
  <c r="P22" i="17" s="1"/>
  <c r="K22" i="17"/>
  <c r="B22" i="17" s="1"/>
  <c r="O22" i="17"/>
  <c r="C22" i="17" s="1"/>
  <c r="D24" i="17"/>
  <c r="I24" i="17"/>
  <c r="P24" i="17" s="1"/>
  <c r="K24" i="17"/>
  <c r="B24" i="17" s="1"/>
  <c r="O24" i="17"/>
  <c r="D26" i="17"/>
  <c r="I26" i="17"/>
  <c r="P26" i="17" s="1"/>
  <c r="K26" i="17"/>
  <c r="B26" i="17" s="1"/>
  <c r="O26" i="17"/>
  <c r="C26" i="17" s="1"/>
  <c r="D28" i="17"/>
  <c r="I28" i="17"/>
  <c r="P28" i="17" s="1"/>
  <c r="K28" i="17"/>
  <c r="B28" i="17" s="1"/>
  <c r="O28" i="17"/>
  <c r="C28" i="17" s="1"/>
  <c r="D30" i="17"/>
  <c r="I30" i="17"/>
  <c r="P30" i="17" s="1"/>
  <c r="K30" i="17"/>
  <c r="B30" i="17" s="1"/>
  <c r="O30" i="17"/>
  <c r="C30" i="17" s="1"/>
  <c r="T40" i="17"/>
  <c r="X40" i="17"/>
  <c r="O41" i="17"/>
  <c r="P41" i="17"/>
  <c r="T41" i="17"/>
  <c r="X41" i="17"/>
  <c r="G42" i="17"/>
  <c r="H42" i="17"/>
  <c r="P42" i="17"/>
  <c r="T42" i="17"/>
  <c r="T45" i="17" s="1"/>
  <c r="X42" i="17"/>
  <c r="G43" i="17"/>
  <c r="H43" i="17"/>
  <c r="P43" i="17"/>
  <c r="X43" i="17"/>
  <c r="I45" i="17"/>
  <c r="R45" i="17"/>
  <c r="V45" i="17"/>
  <c r="G44" i="17"/>
  <c r="H44" i="17"/>
  <c r="P44" i="17"/>
  <c r="T44" i="17"/>
  <c r="X44" i="17"/>
  <c r="E165" i="6" l="1"/>
  <c r="H19" i="18"/>
  <c r="H19" i="19"/>
  <c r="M165" i="4"/>
  <c r="M10" i="18" s="1"/>
  <c r="M9" i="18"/>
  <c r="M6" i="19"/>
  <c r="I165" i="4"/>
  <c r="I10" i="18" s="1"/>
  <c r="I9" i="18"/>
  <c r="I6" i="19"/>
  <c r="K44" i="4"/>
  <c r="K45" i="4" s="1"/>
  <c r="N165" i="4"/>
  <c r="N10" i="18" s="1"/>
  <c r="N6" i="19"/>
  <c r="N9" i="18"/>
  <c r="F149" i="6"/>
  <c r="F150" i="6" s="1"/>
  <c r="I149" i="6"/>
  <c r="I150" i="6" s="1"/>
  <c r="C165" i="6"/>
  <c r="F19" i="18"/>
  <c r="F19" i="19"/>
  <c r="J165" i="6"/>
  <c r="M19" i="19"/>
  <c r="M19" i="18"/>
  <c r="J104" i="6"/>
  <c r="J105" i="6" s="1"/>
  <c r="D149" i="6"/>
  <c r="D150" i="6" s="1"/>
  <c r="I44" i="6"/>
  <c r="I45" i="6" s="1"/>
  <c r="D165" i="4"/>
  <c r="D10" i="18" s="1"/>
  <c r="D9" i="18"/>
  <c r="D6" i="19"/>
  <c r="F165" i="4"/>
  <c r="F10" i="18" s="1"/>
  <c r="F6" i="19"/>
  <c r="F9" i="18"/>
  <c r="W43" i="17"/>
  <c r="S43" i="17"/>
  <c r="L165" i="4"/>
  <c r="L10" i="18" s="1"/>
  <c r="L9" i="18"/>
  <c r="L6" i="19"/>
  <c r="E165" i="4"/>
  <c r="E10" i="18" s="1"/>
  <c r="E9" i="18"/>
  <c r="E6" i="19"/>
  <c r="F74" i="4"/>
  <c r="F75" i="4" s="1"/>
  <c r="G165" i="4"/>
  <c r="G10" i="18" s="1"/>
  <c r="G9" i="18"/>
  <c r="G6" i="19"/>
  <c r="E149" i="6"/>
  <c r="E150" i="6" s="1"/>
  <c r="F44" i="6"/>
  <c r="F45" i="6" s="1"/>
  <c r="K89" i="6"/>
  <c r="K90" i="6" s="1"/>
  <c r="D165" i="6"/>
  <c r="G19" i="18"/>
  <c r="G19" i="19"/>
  <c r="J74" i="6"/>
  <c r="J75" i="6" s="1"/>
  <c r="N44" i="4"/>
  <c r="N45" i="4" s="1"/>
  <c r="W44" i="17"/>
  <c r="S44" i="17"/>
  <c r="W42" i="17"/>
  <c r="S42" i="17"/>
  <c r="H165" i="4"/>
  <c r="H10" i="18" s="1"/>
  <c r="H9" i="18"/>
  <c r="H6" i="19"/>
  <c r="K165" i="4"/>
  <c r="K10" i="18" s="1"/>
  <c r="K9" i="18"/>
  <c r="K6" i="19"/>
  <c r="G165" i="6"/>
  <c r="J19" i="18"/>
  <c r="J19" i="19"/>
  <c r="H165" i="6"/>
  <c r="K19" i="18"/>
  <c r="K19" i="19"/>
  <c r="J14" i="5"/>
  <c r="E29" i="6"/>
  <c r="E30" i="6" s="1"/>
  <c r="D89" i="4"/>
  <c r="D90" i="4" s="1"/>
  <c r="K165" i="6"/>
  <c r="N19" i="18"/>
  <c r="N19" i="19"/>
  <c r="E24" i="18"/>
  <c r="E25" i="19"/>
  <c r="E26" i="19" s="1"/>
  <c r="I164" i="6"/>
  <c r="F164" i="6"/>
  <c r="F134" i="6"/>
  <c r="F135" i="6" s="1"/>
  <c r="B134" i="6"/>
  <c r="B135" i="6" s="1"/>
  <c r="F119" i="6"/>
  <c r="F120" i="6" s="1"/>
  <c r="L118" i="6"/>
  <c r="F104" i="6"/>
  <c r="F105" i="6" s="1"/>
  <c r="I74" i="6"/>
  <c r="I75" i="6" s="1"/>
  <c r="J164" i="4"/>
  <c r="C164" i="4"/>
  <c r="K149" i="4"/>
  <c r="K150" i="4" s="1"/>
  <c r="L149" i="4"/>
  <c r="L150" i="4" s="1"/>
  <c r="C149" i="4"/>
  <c r="C150" i="4" s="1"/>
  <c r="I149" i="4"/>
  <c r="I150" i="4" s="1"/>
  <c r="F149" i="4"/>
  <c r="F150" i="4" s="1"/>
  <c r="N149" i="4"/>
  <c r="N150" i="4" s="1"/>
  <c r="E149" i="4"/>
  <c r="E150" i="4" s="1"/>
  <c r="D149" i="4"/>
  <c r="D150" i="4" s="1"/>
  <c r="N134" i="4"/>
  <c r="N135" i="4" s="1"/>
  <c r="F134" i="4"/>
  <c r="F135" i="4" s="1"/>
  <c r="J134" i="4"/>
  <c r="J135" i="4" s="1"/>
  <c r="I134" i="4"/>
  <c r="I135" i="4" s="1"/>
  <c r="M134" i="4"/>
  <c r="M135" i="4" s="1"/>
  <c r="O133" i="4"/>
  <c r="M119" i="4"/>
  <c r="M120" i="4" s="1"/>
  <c r="L119" i="4"/>
  <c r="L120" i="4" s="1"/>
  <c r="F119" i="4"/>
  <c r="F120" i="4" s="1"/>
  <c r="K119" i="4"/>
  <c r="K120" i="4" s="1"/>
  <c r="B119" i="4"/>
  <c r="B120" i="4" s="1"/>
  <c r="N104" i="4"/>
  <c r="N105" i="4" s="1"/>
  <c r="E89" i="4"/>
  <c r="E90" i="4" s="1"/>
  <c r="K89" i="4"/>
  <c r="K90" i="4" s="1"/>
  <c r="N74" i="4"/>
  <c r="N75" i="4" s="1"/>
  <c r="B74" i="4"/>
  <c r="B75" i="4" s="1"/>
  <c r="N59" i="4"/>
  <c r="N60" i="4" s="1"/>
  <c r="K59" i="4"/>
  <c r="K60" i="4" s="1"/>
  <c r="O58" i="4"/>
  <c r="L44" i="4"/>
  <c r="L45" i="4" s="1"/>
  <c r="L29" i="4"/>
  <c r="L30" i="4" s="1"/>
  <c r="I29" i="4"/>
  <c r="I30" i="4" s="1"/>
  <c r="K29" i="4"/>
  <c r="K30" i="4" s="1"/>
  <c r="E29" i="4"/>
  <c r="E30" i="4" s="1"/>
  <c r="F29" i="4"/>
  <c r="F30" i="4" s="1"/>
  <c r="C29" i="4"/>
  <c r="C30" i="4" s="1"/>
  <c r="O43" i="4"/>
  <c r="F44" i="4"/>
  <c r="F45" i="4" s="1"/>
  <c r="O88" i="4"/>
  <c r="O163" i="4"/>
  <c r="L103" i="6"/>
  <c r="K134" i="4"/>
  <c r="K135" i="4" s="1"/>
  <c r="N29" i="4"/>
  <c r="N30" i="4" s="1"/>
  <c r="D119" i="4"/>
  <c r="D120" i="4" s="1"/>
  <c r="G44" i="6"/>
  <c r="G45" i="6" s="1"/>
  <c r="L148" i="6"/>
  <c r="I104" i="4"/>
  <c r="I105" i="4" s="1"/>
  <c r="K119" i="6"/>
  <c r="K120" i="6" s="1"/>
  <c r="L104" i="4"/>
  <c r="L105" i="4" s="1"/>
  <c r="J29" i="4"/>
  <c r="J30" i="4" s="1"/>
  <c r="I119" i="4"/>
  <c r="I120" i="4" s="1"/>
  <c r="D29" i="6"/>
  <c r="D30" i="6" s="1"/>
  <c r="L73" i="6"/>
  <c r="L58" i="6"/>
  <c r="F104" i="4"/>
  <c r="F105" i="4" s="1"/>
  <c r="O73" i="4"/>
  <c r="O28" i="4"/>
  <c r="J149" i="4"/>
  <c r="J150" i="4" s="1"/>
  <c r="B44" i="4"/>
  <c r="B45" i="4" s="1"/>
  <c r="B89" i="6"/>
  <c r="B90" i="6" s="1"/>
  <c r="I89" i="6"/>
  <c r="I90" i="6" s="1"/>
  <c r="L88" i="6"/>
  <c r="L43" i="6"/>
  <c r="N89" i="4"/>
  <c r="N90" i="4" s="1"/>
  <c r="D59" i="4"/>
  <c r="D60" i="4" s="1"/>
  <c r="B164" i="4"/>
  <c r="E89" i="6"/>
  <c r="E90" i="6" s="1"/>
  <c r="G134" i="6"/>
  <c r="G135" i="6" s="1"/>
  <c r="J149" i="6"/>
  <c r="J150" i="6" s="1"/>
  <c r="C74" i="4"/>
  <c r="C75" i="4" s="1"/>
  <c r="E74" i="6"/>
  <c r="E75" i="6" s="1"/>
  <c r="F29" i="6"/>
  <c r="F30" i="6" s="1"/>
  <c r="H134" i="6"/>
  <c r="H135" i="6" s="1"/>
  <c r="K74" i="4"/>
  <c r="K75" i="4" s="1"/>
  <c r="P146" i="5"/>
  <c r="P147" i="5" s="1"/>
  <c r="P148" i="7"/>
  <c r="P149" i="7" s="1"/>
  <c r="P150" i="7" s="1"/>
  <c r="F116" i="5"/>
  <c r="F117" i="5" s="1"/>
  <c r="F118" i="7"/>
  <c r="F119" i="7" s="1"/>
  <c r="F120" i="7" s="1"/>
  <c r="L86" i="5"/>
  <c r="L87" i="5" s="1"/>
  <c r="L88" i="7"/>
  <c r="L89" i="7" s="1"/>
  <c r="L90" i="7" s="1"/>
  <c r="B56" i="5"/>
  <c r="B57" i="5" s="1"/>
  <c r="B58" i="7"/>
  <c r="Q56" i="5"/>
  <c r="Q57" i="5" s="1"/>
  <c r="Q58" i="7"/>
  <c r="Q59" i="7" s="1"/>
  <c r="Q60" i="7" s="1"/>
  <c r="D116" i="5"/>
  <c r="D117" i="5" s="1"/>
  <c r="D118" i="7"/>
  <c r="D119" i="7" s="1"/>
  <c r="D120" i="7" s="1"/>
  <c r="N101" i="5"/>
  <c r="N102" i="5" s="1"/>
  <c r="N103" i="7"/>
  <c r="N104" i="7" s="1"/>
  <c r="N105" i="7" s="1"/>
  <c r="Q116" i="5"/>
  <c r="Q117" i="5" s="1"/>
  <c r="Q118" i="7"/>
  <c r="Q119" i="7" s="1"/>
  <c r="Q120" i="7" s="1"/>
  <c r="E131" i="5"/>
  <c r="E132" i="5" s="1"/>
  <c r="E133" i="7"/>
  <c r="E134" i="7" s="1"/>
  <c r="E135" i="7" s="1"/>
  <c r="B161" i="5"/>
  <c r="B162" i="5" s="1"/>
  <c r="B163" i="7"/>
  <c r="D71" i="5"/>
  <c r="D72" i="5" s="1"/>
  <c r="D73" i="7"/>
  <c r="D74" i="7" s="1"/>
  <c r="D75" i="7" s="1"/>
  <c r="H28" i="5"/>
  <c r="H28" i="7"/>
  <c r="H29" i="7" s="1"/>
  <c r="H30" i="7" s="1"/>
  <c r="B89" i="4"/>
  <c r="B90" i="4" s="1"/>
  <c r="M161" i="5"/>
  <c r="M162" i="5" s="1"/>
  <c r="M163" i="7"/>
  <c r="M164" i="7" s="1"/>
  <c r="M165" i="7" s="1"/>
  <c r="R116" i="5"/>
  <c r="R117" i="5" s="1"/>
  <c r="R118" i="7"/>
  <c r="R119" i="7" s="1"/>
  <c r="R120" i="7" s="1"/>
  <c r="H86" i="5"/>
  <c r="H87" i="5" s="1"/>
  <c r="H88" i="7"/>
  <c r="H89" i="7" s="1"/>
  <c r="H90" i="7" s="1"/>
  <c r="N56" i="5"/>
  <c r="N57" i="5" s="1"/>
  <c r="N58" i="7"/>
  <c r="N59" i="7" s="1"/>
  <c r="N60" i="7" s="1"/>
  <c r="J131" i="5"/>
  <c r="J132" i="5" s="1"/>
  <c r="J133" i="7"/>
  <c r="J134" i="7" s="1"/>
  <c r="J135" i="7" s="1"/>
  <c r="T116" i="5"/>
  <c r="T117" i="5" s="1"/>
  <c r="T118" i="7"/>
  <c r="T119" i="7" s="1"/>
  <c r="T120" i="7" s="1"/>
  <c r="G89" i="6"/>
  <c r="G90" i="6" s="1"/>
  <c r="S131" i="5"/>
  <c r="S132" i="5" s="1"/>
  <c r="S133" i="7"/>
  <c r="S134" i="7" s="1"/>
  <c r="S135" i="7" s="1"/>
  <c r="I101" i="5"/>
  <c r="I102" i="5" s="1"/>
  <c r="I103" i="7"/>
  <c r="I104" i="7" s="1"/>
  <c r="I105" i="7" s="1"/>
  <c r="R56" i="5"/>
  <c r="R57" i="5" s="1"/>
  <c r="R58" i="7"/>
  <c r="R59" i="7" s="1"/>
  <c r="R60" i="7" s="1"/>
  <c r="E146" i="5"/>
  <c r="E147" i="5" s="1"/>
  <c r="E148" i="7"/>
  <c r="E149" i="7" s="1"/>
  <c r="E150" i="7" s="1"/>
  <c r="K146" i="5"/>
  <c r="K147" i="5" s="1"/>
  <c r="K148" i="7"/>
  <c r="K149" i="7" s="1"/>
  <c r="K150" i="7" s="1"/>
  <c r="T101" i="5"/>
  <c r="T102" i="5" s="1"/>
  <c r="T103" i="7"/>
  <c r="T104" i="7" s="1"/>
  <c r="T105" i="7" s="1"/>
  <c r="G86" i="5"/>
  <c r="G87" i="5" s="1"/>
  <c r="G88" i="7"/>
  <c r="G89" i="7" s="1"/>
  <c r="G90" i="7" s="1"/>
  <c r="K14" i="5"/>
  <c r="K13" i="7"/>
  <c r="K14" i="7" s="1"/>
  <c r="K15" i="7" s="1"/>
  <c r="E134" i="4"/>
  <c r="E135" i="4" s="1"/>
  <c r="L146" i="5"/>
  <c r="L147" i="5" s="1"/>
  <c r="L148" i="7"/>
  <c r="L149" i="7" s="1"/>
  <c r="L150" i="7" s="1"/>
  <c r="B116" i="5"/>
  <c r="B117" i="5" s="1"/>
  <c r="B118" i="7"/>
  <c r="B29" i="7"/>
  <c r="B30" i="7" s="1"/>
  <c r="F146" i="5"/>
  <c r="F147" i="5" s="1"/>
  <c r="F148" i="7"/>
  <c r="F149" i="7" s="1"/>
  <c r="F150" i="7" s="1"/>
  <c r="T131" i="5"/>
  <c r="T132" i="5" s="1"/>
  <c r="T133" i="7"/>
  <c r="T134" i="7" s="1"/>
  <c r="T135" i="7" s="1"/>
  <c r="H161" i="5"/>
  <c r="H162" i="5" s="1"/>
  <c r="H163" i="7"/>
  <c r="H164" i="7" s="1"/>
  <c r="H165" i="7" s="1"/>
  <c r="M116" i="5"/>
  <c r="M117" i="5" s="1"/>
  <c r="M118" i="7"/>
  <c r="M119" i="7" s="1"/>
  <c r="M120" i="7" s="1"/>
  <c r="C86" i="5"/>
  <c r="C87" i="5" s="1"/>
  <c r="C88" i="7"/>
  <c r="C89" i="7" s="1"/>
  <c r="C90" i="7" s="1"/>
  <c r="C116" i="5"/>
  <c r="C117" i="5" s="1"/>
  <c r="C118" i="7"/>
  <c r="C119" i="7" s="1"/>
  <c r="C120" i="7" s="1"/>
  <c r="I161" i="5"/>
  <c r="I162" i="5" s="1"/>
  <c r="I163" i="7"/>
  <c r="I164" i="7" s="1"/>
  <c r="I165" i="7" s="1"/>
  <c r="E56" i="5"/>
  <c r="E57" i="5" s="1"/>
  <c r="E58" i="7"/>
  <c r="E59" i="7" s="1"/>
  <c r="E60" i="7" s="1"/>
  <c r="L133" i="6"/>
  <c r="C59" i="4"/>
  <c r="C60" i="4" s="1"/>
  <c r="D29" i="4"/>
  <c r="D30" i="4" s="1"/>
  <c r="E74" i="4"/>
  <c r="E75" i="4" s="1"/>
  <c r="E161" i="5"/>
  <c r="E162" i="5" s="1"/>
  <c r="E163" i="7"/>
  <c r="E164" i="7" s="1"/>
  <c r="E165" i="7" s="1"/>
  <c r="H146" i="5"/>
  <c r="H147" i="5" s="1"/>
  <c r="H148" i="7"/>
  <c r="H149" i="7" s="1"/>
  <c r="H150" i="7" s="1"/>
  <c r="K131" i="5"/>
  <c r="K132" i="5" s="1"/>
  <c r="K133" i="7"/>
  <c r="K134" i="7" s="1"/>
  <c r="K135" i="7" s="1"/>
  <c r="N116" i="5"/>
  <c r="N117" i="5" s="1"/>
  <c r="N118" i="7"/>
  <c r="N119" i="7" s="1"/>
  <c r="N120" i="7" s="1"/>
  <c r="Q101" i="5"/>
  <c r="Q102" i="5" s="1"/>
  <c r="Q103" i="7"/>
  <c r="Q104" i="7" s="1"/>
  <c r="Q105" i="7" s="1"/>
  <c r="T86" i="5"/>
  <c r="T87" i="5" s="1"/>
  <c r="T88" i="7"/>
  <c r="T89" i="7" s="1"/>
  <c r="T90" i="7" s="1"/>
  <c r="D86" i="5"/>
  <c r="D87" i="5" s="1"/>
  <c r="D88" i="7"/>
  <c r="D89" i="7" s="1"/>
  <c r="D90" i="7" s="1"/>
  <c r="G71" i="5"/>
  <c r="G72" i="5" s="1"/>
  <c r="G73" i="7"/>
  <c r="G74" i="7" s="1"/>
  <c r="G75" i="7" s="1"/>
  <c r="J56" i="5"/>
  <c r="J57" i="5" s="1"/>
  <c r="J58" i="7"/>
  <c r="J59" i="7" s="1"/>
  <c r="J60" i="7" s="1"/>
  <c r="B44" i="7"/>
  <c r="B45" i="7" s="1"/>
  <c r="I56" i="5"/>
  <c r="I57" i="5" s="1"/>
  <c r="I58" i="7"/>
  <c r="I59" i="7" s="1"/>
  <c r="I60" i="7" s="1"/>
  <c r="J29" i="9"/>
  <c r="J30" i="9" s="1"/>
  <c r="B146" i="5"/>
  <c r="B147" i="5" s="1"/>
  <c r="B148" i="7"/>
  <c r="G101" i="5"/>
  <c r="G102" i="5" s="1"/>
  <c r="G103" i="7"/>
  <c r="G104" i="7" s="1"/>
  <c r="G105" i="7" s="1"/>
  <c r="B86" i="5"/>
  <c r="B87" i="5" s="1"/>
  <c r="B88" i="7"/>
  <c r="D56" i="5"/>
  <c r="D57" i="5" s="1"/>
  <c r="D58" i="7"/>
  <c r="D59" i="7" s="1"/>
  <c r="D60" i="7" s="1"/>
  <c r="Q146" i="5"/>
  <c r="Q147" i="5" s="1"/>
  <c r="Q148" i="7"/>
  <c r="Q149" i="7" s="1"/>
  <c r="Q150" i="7" s="1"/>
  <c r="S116" i="5"/>
  <c r="S117" i="5" s="1"/>
  <c r="S118" i="7"/>
  <c r="S119" i="7" s="1"/>
  <c r="S120" i="7" s="1"/>
  <c r="Q86" i="5"/>
  <c r="Q87" i="5" s="1"/>
  <c r="Q88" i="7"/>
  <c r="Q89" i="7" s="1"/>
  <c r="Q90" i="7" s="1"/>
  <c r="S56" i="5"/>
  <c r="S57" i="5" s="1"/>
  <c r="S58" i="7"/>
  <c r="S59" i="7" s="1"/>
  <c r="S60" i="7" s="1"/>
  <c r="T161" i="5"/>
  <c r="T162" i="5" s="1"/>
  <c r="T163" i="7"/>
  <c r="T164" i="7" s="1"/>
  <c r="T165" i="7" s="1"/>
  <c r="S146" i="5"/>
  <c r="S147" i="5" s="1"/>
  <c r="S148" i="7"/>
  <c r="S149" i="7" s="1"/>
  <c r="S150" i="7" s="1"/>
  <c r="C146" i="5"/>
  <c r="C147" i="5" s="1"/>
  <c r="C148" i="7"/>
  <c r="C149" i="7" s="1"/>
  <c r="C150" i="7" s="1"/>
  <c r="F131" i="5"/>
  <c r="F132" i="5" s="1"/>
  <c r="F133" i="7"/>
  <c r="F134" i="7" s="1"/>
  <c r="F135" i="7" s="1"/>
  <c r="I116" i="5"/>
  <c r="I117" i="5" s="1"/>
  <c r="I118" i="7"/>
  <c r="I119" i="7" s="1"/>
  <c r="I120" i="7" s="1"/>
  <c r="L101" i="5"/>
  <c r="L102" i="5" s="1"/>
  <c r="L103" i="7"/>
  <c r="L104" i="7" s="1"/>
  <c r="L105" i="7" s="1"/>
  <c r="O86" i="5"/>
  <c r="O87" i="5" s="1"/>
  <c r="O88" i="7"/>
  <c r="O89" i="7" s="1"/>
  <c r="O90" i="7" s="1"/>
  <c r="R71" i="5"/>
  <c r="R72" i="5" s="1"/>
  <c r="R73" i="7"/>
  <c r="R74" i="7" s="1"/>
  <c r="R75" i="7" s="1"/>
  <c r="B71" i="5"/>
  <c r="B72" i="5" s="1"/>
  <c r="B73" i="7"/>
  <c r="S161" i="5"/>
  <c r="S162" i="5" s="1"/>
  <c r="S163" i="7"/>
  <c r="S164" i="7" s="1"/>
  <c r="S165" i="7" s="1"/>
  <c r="R146" i="5"/>
  <c r="R147" i="5" s="1"/>
  <c r="R148" i="7"/>
  <c r="R149" i="7" s="1"/>
  <c r="R150" i="7" s="1"/>
  <c r="P116" i="5"/>
  <c r="P117" i="5" s="1"/>
  <c r="P118" i="7"/>
  <c r="P119" i="7" s="1"/>
  <c r="P120" i="7" s="1"/>
  <c r="P56" i="5"/>
  <c r="P57" i="5" s="1"/>
  <c r="P58" i="7"/>
  <c r="P59" i="7" s="1"/>
  <c r="P60" i="7" s="1"/>
  <c r="D131" i="5"/>
  <c r="D132" i="5" s="1"/>
  <c r="D133" i="7"/>
  <c r="D134" i="7" s="1"/>
  <c r="D135" i="7" s="1"/>
  <c r="B101" i="5"/>
  <c r="B102" i="5" s="1"/>
  <c r="B103" i="7"/>
  <c r="H56" i="5"/>
  <c r="H57" i="5" s="1"/>
  <c r="H58" i="7"/>
  <c r="H59" i="7" s="1"/>
  <c r="H60" i="7" s="1"/>
  <c r="O118" i="4"/>
  <c r="L28" i="6"/>
  <c r="K56" i="5"/>
  <c r="K57" i="5" s="1"/>
  <c r="K58" i="7"/>
  <c r="K59" i="7" s="1"/>
  <c r="K60" i="7" s="1"/>
  <c r="C131" i="5"/>
  <c r="C132" i="5" s="1"/>
  <c r="C133" i="7"/>
  <c r="C134" i="7" s="1"/>
  <c r="C135" i="7" s="1"/>
  <c r="O71" i="5"/>
  <c r="O72" i="5" s="1"/>
  <c r="O73" i="7"/>
  <c r="O74" i="7" s="1"/>
  <c r="O75" i="7" s="1"/>
  <c r="N146" i="5"/>
  <c r="N147" i="5" s="1"/>
  <c r="N148" i="7"/>
  <c r="N149" i="7" s="1"/>
  <c r="N150" i="7" s="1"/>
  <c r="N86" i="5"/>
  <c r="N87" i="5" s="1"/>
  <c r="N88" i="7"/>
  <c r="N89" i="7" s="1"/>
  <c r="N90" i="7" s="1"/>
  <c r="E71" i="5"/>
  <c r="E72" i="5" s="1"/>
  <c r="E73" i="7"/>
  <c r="E74" i="7" s="1"/>
  <c r="E75" i="7" s="1"/>
  <c r="E86" i="5"/>
  <c r="E87" i="5" s="1"/>
  <c r="E88" i="7"/>
  <c r="E89" i="7" s="1"/>
  <c r="E90" i="7" s="1"/>
  <c r="G56" i="5"/>
  <c r="G57" i="5" s="1"/>
  <c r="G58" i="7"/>
  <c r="G59" i="7" s="1"/>
  <c r="G60" i="7" s="1"/>
  <c r="L161" i="5"/>
  <c r="L162" i="5" s="1"/>
  <c r="L163" i="7"/>
  <c r="L164" i="7" s="1"/>
  <c r="L165" i="7" s="1"/>
  <c r="N131" i="5"/>
  <c r="N132" i="5" s="1"/>
  <c r="N133" i="7"/>
  <c r="N134" i="7" s="1"/>
  <c r="N135" i="7" s="1"/>
  <c r="D101" i="5"/>
  <c r="D102" i="5" s="1"/>
  <c r="D103" i="7"/>
  <c r="D104" i="7" s="1"/>
  <c r="D105" i="7" s="1"/>
  <c r="J71" i="5"/>
  <c r="J72" i="5" s="1"/>
  <c r="J73" i="7"/>
  <c r="J74" i="7" s="1"/>
  <c r="J75" i="7" s="1"/>
  <c r="G161" i="5"/>
  <c r="G162" i="5" s="1"/>
  <c r="G163" i="7"/>
  <c r="G164" i="7" s="1"/>
  <c r="G165" i="7" s="1"/>
  <c r="R86" i="5"/>
  <c r="R87" i="5" s="1"/>
  <c r="R88" i="7"/>
  <c r="R89" i="7" s="1"/>
  <c r="R90" i="7" s="1"/>
  <c r="G116" i="5"/>
  <c r="G117" i="5" s="1"/>
  <c r="G118" i="7"/>
  <c r="G119" i="7" s="1"/>
  <c r="G120" i="7" s="1"/>
  <c r="J42" i="5"/>
  <c r="J43" i="7"/>
  <c r="J44" i="7" s="1"/>
  <c r="J45" i="7" s="1"/>
  <c r="B104" i="6"/>
  <c r="B105" i="6" s="1"/>
  <c r="B44" i="6"/>
  <c r="B45" i="6" s="1"/>
  <c r="O131" i="5"/>
  <c r="O132" i="5" s="1"/>
  <c r="O133" i="7"/>
  <c r="O134" i="7" s="1"/>
  <c r="O135" i="7" s="1"/>
  <c r="E101" i="5"/>
  <c r="E102" i="5" s="1"/>
  <c r="E103" i="7"/>
  <c r="E104" i="7" s="1"/>
  <c r="E105" i="7" s="1"/>
  <c r="K71" i="5"/>
  <c r="K72" i="5" s="1"/>
  <c r="K73" i="7"/>
  <c r="K74" i="7" s="1"/>
  <c r="K75" i="7" s="1"/>
  <c r="M56" i="5"/>
  <c r="M57" i="5" s="1"/>
  <c r="M58" i="7"/>
  <c r="M59" i="7" s="1"/>
  <c r="M60" i="7" s="1"/>
  <c r="O101" i="5"/>
  <c r="O102" i="5" s="1"/>
  <c r="O103" i="7"/>
  <c r="O104" i="7" s="1"/>
  <c r="O105" i="7" s="1"/>
  <c r="F86" i="5"/>
  <c r="F87" i="5" s="1"/>
  <c r="F88" i="7"/>
  <c r="F89" i="7" s="1"/>
  <c r="F90" i="7" s="1"/>
  <c r="T56" i="5"/>
  <c r="T57" i="5" s="1"/>
  <c r="T58" i="7"/>
  <c r="T59" i="7" s="1"/>
  <c r="T60" i="7" s="1"/>
  <c r="N161" i="5"/>
  <c r="N162" i="5" s="1"/>
  <c r="N163" i="7"/>
  <c r="N164" i="7" s="1"/>
  <c r="N165" i="7" s="1"/>
  <c r="F101" i="5"/>
  <c r="F102" i="5" s="1"/>
  <c r="F103" i="7"/>
  <c r="F104" i="7" s="1"/>
  <c r="F105" i="7" s="1"/>
  <c r="P71" i="5"/>
  <c r="P72" i="5" s="1"/>
  <c r="P73" i="7"/>
  <c r="P74" i="7" s="1"/>
  <c r="P75" i="7" s="1"/>
  <c r="G146" i="5"/>
  <c r="G147" i="5" s="1"/>
  <c r="G148" i="7"/>
  <c r="G149" i="7" s="1"/>
  <c r="G150" i="7" s="1"/>
  <c r="P101" i="5"/>
  <c r="P102" i="5" s="1"/>
  <c r="P103" i="7"/>
  <c r="P104" i="7" s="1"/>
  <c r="P105" i="7" s="1"/>
  <c r="S86" i="5"/>
  <c r="S87" i="5" s="1"/>
  <c r="S88" i="7"/>
  <c r="S89" i="7" s="1"/>
  <c r="S90" i="7" s="1"/>
  <c r="F71" i="5"/>
  <c r="F72" i="5" s="1"/>
  <c r="F73" i="7"/>
  <c r="F74" i="7" s="1"/>
  <c r="F75" i="7" s="1"/>
  <c r="C161" i="5"/>
  <c r="C162" i="5" s="1"/>
  <c r="C163" i="7"/>
  <c r="C164" i="7" s="1"/>
  <c r="C165" i="7" s="1"/>
  <c r="Q71" i="5"/>
  <c r="Q72" i="5" s="1"/>
  <c r="Q73" i="7"/>
  <c r="Q74" i="7" s="1"/>
  <c r="Q75" i="7" s="1"/>
  <c r="P131" i="5"/>
  <c r="P132" i="5" s="1"/>
  <c r="P133" i="7"/>
  <c r="P134" i="7" s="1"/>
  <c r="P135" i="7" s="1"/>
  <c r="L56" i="5"/>
  <c r="L57" i="5" s="1"/>
  <c r="L58" i="7"/>
  <c r="L59" i="7" s="1"/>
  <c r="L60" i="7" s="1"/>
  <c r="O148" i="4"/>
  <c r="B164" i="6"/>
  <c r="T146" i="5"/>
  <c r="T147" i="5" s="1"/>
  <c r="T148" i="7"/>
  <c r="T149" i="7" s="1"/>
  <c r="T150" i="7" s="1"/>
  <c r="D146" i="5"/>
  <c r="D147" i="5" s="1"/>
  <c r="D148" i="7"/>
  <c r="D149" i="7" s="1"/>
  <c r="D150" i="7" s="1"/>
  <c r="G131" i="5"/>
  <c r="G132" i="5" s="1"/>
  <c r="G133" i="7"/>
  <c r="G134" i="7" s="1"/>
  <c r="G135" i="7" s="1"/>
  <c r="J116" i="5"/>
  <c r="J117" i="5" s="1"/>
  <c r="J118" i="7"/>
  <c r="J119" i="7" s="1"/>
  <c r="J120" i="7" s="1"/>
  <c r="M101" i="5"/>
  <c r="M102" i="5" s="1"/>
  <c r="M103" i="7"/>
  <c r="M104" i="7" s="1"/>
  <c r="M105" i="7" s="1"/>
  <c r="P86" i="5"/>
  <c r="P87" i="5" s="1"/>
  <c r="P88" i="7"/>
  <c r="P89" i="7" s="1"/>
  <c r="P90" i="7" s="1"/>
  <c r="S71" i="5"/>
  <c r="S72" i="5" s="1"/>
  <c r="S73" i="7"/>
  <c r="S74" i="7" s="1"/>
  <c r="S75" i="7" s="1"/>
  <c r="C71" i="5"/>
  <c r="C72" i="5" s="1"/>
  <c r="C73" i="7"/>
  <c r="C74" i="7" s="1"/>
  <c r="C75" i="7" s="1"/>
  <c r="F56" i="5"/>
  <c r="F57" i="5" s="1"/>
  <c r="F58" i="7"/>
  <c r="F59" i="7" s="1"/>
  <c r="F60" i="7" s="1"/>
  <c r="B14" i="7"/>
  <c r="B15" i="7" s="1"/>
  <c r="U13" i="7"/>
  <c r="U14" i="7" s="1"/>
  <c r="U15" i="7" s="1"/>
  <c r="Q131" i="5"/>
  <c r="Q132" i="5" s="1"/>
  <c r="Q133" i="7"/>
  <c r="Q134" i="7" s="1"/>
  <c r="Q135" i="7" s="1"/>
  <c r="C101" i="5"/>
  <c r="C102" i="5" s="1"/>
  <c r="C103" i="7"/>
  <c r="C104" i="7" s="1"/>
  <c r="C105" i="7" s="1"/>
  <c r="M71" i="5"/>
  <c r="M72" i="5" s="1"/>
  <c r="M73" i="7"/>
  <c r="M74" i="7" s="1"/>
  <c r="M75" i="7" s="1"/>
  <c r="M146" i="5"/>
  <c r="M147" i="5" s="1"/>
  <c r="M148" i="7"/>
  <c r="M149" i="7" s="1"/>
  <c r="M150" i="7" s="1"/>
  <c r="R101" i="5"/>
  <c r="R102" i="5" s="1"/>
  <c r="R103" i="7"/>
  <c r="R104" i="7" s="1"/>
  <c r="R105" i="7" s="1"/>
  <c r="M86" i="5"/>
  <c r="M87" i="5" s="1"/>
  <c r="M88" i="7"/>
  <c r="M89" i="7" s="1"/>
  <c r="M90" i="7" s="1"/>
  <c r="O56" i="5"/>
  <c r="O57" i="5" s="1"/>
  <c r="O58" i="7"/>
  <c r="O59" i="7" s="1"/>
  <c r="O60" i="7" s="1"/>
  <c r="P161" i="5"/>
  <c r="P162" i="5" s="1"/>
  <c r="P163" i="7"/>
  <c r="P164" i="7" s="1"/>
  <c r="P165" i="7" s="1"/>
  <c r="O146" i="5"/>
  <c r="O147" i="5" s="1"/>
  <c r="O148" i="7"/>
  <c r="O149" i="7" s="1"/>
  <c r="O150" i="7" s="1"/>
  <c r="R131" i="5"/>
  <c r="R132" i="5" s="1"/>
  <c r="R133" i="7"/>
  <c r="R134" i="7" s="1"/>
  <c r="R135" i="7" s="1"/>
  <c r="B131" i="5"/>
  <c r="B132" i="5" s="1"/>
  <c r="B133" i="7"/>
  <c r="E116" i="5"/>
  <c r="E117" i="5" s="1"/>
  <c r="E118" i="7"/>
  <c r="E119" i="7" s="1"/>
  <c r="E120" i="7" s="1"/>
  <c r="H101" i="5"/>
  <c r="H102" i="5" s="1"/>
  <c r="H103" i="7"/>
  <c r="H104" i="7" s="1"/>
  <c r="H105" i="7" s="1"/>
  <c r="K86" i="5"/>
  <c r="K87" i="5" s="1"/>
  <c r="K88" i="7"/>
  <c r="K89" i="7" s="1"/>
  <c r="K90" i="7" s="1"/>
  <c r="N71" i="5"/>
  <c r="N72" i="5" s="1"/>
  <c r="N73" i="7"/>
  <c r="N74" i="7" s="1"/>
  <c r="N75" i="7" s="1"/>
  <c r="O161" i="5"/>
  <c r="O162" i="5" s="1"/>
  <c r="O163" i="7"/>
  <c r="O164" i="7" s="1"/>
  <c r="O165" i="7" s="1"/>
  <c r="M131" i="5"/>
  <c r="M132" i="5" s="1"/>
  <c r="M133" i="7"/>
  <c r="M134" i="7" s="1"/>
  <c r="M135" i="7" s="1"/>
  <c r="S101" i="5"/>
  <c r="S102" i="5" s="1"/>
  <c r="S103" i="7"/>
  <c r="S104" i="7" s="1"/>
  <c r="S105" i="7" s="1"/>
  <c r="R161" i="5"/>
  <c r="R162" i="5" s="1"/>
  <c r="R163" i="7"/>
  <c r="R164" i="7" s="1"/>
  <c r="R165" i="7" s="1"/>
  <c r="O116" i="5"/>
  <c r="O117" i="5" s="1"/>
  <c r="O118" i="7"/>
  <c r="O119" i="7" s="1"/>
  <c r="O120" i="7" s="1"/>
  <c r="T71" i="5"/>
  <c r="T72" i="5" s="1"/>
  <c r="T73" i="7"/>
  <c r="T74" i="7" s="1"/>
  <c r="T75" i="7" s="1"/>
  <c r="L28" i="5"/>
  <c r="L28" i="7"/>
  <c r="L29" i="7" s="1"/>
  <c r="L30" i="7" s="1"/>
  <c r="O103" i="4"/>
  <c r="L163" i="6"/>
  <c r="K42" i="5"/>
  <c r="K43" i="7"/>
  <c r="K44" i="7" s="1"/>
  <c r="K45" i="7" s="1"/>
  <c r="L14" i="8"/>
  <c r="L15" i="8" s="1"/>
  <c r="B104" i="4"/>
  <c r="B105" i="4" s="1"/>
  <c r="B149" i="4"/>
  <c r="B150" i="4" s="1"/>
  <c r="O13" i="4"/>
  <c r="O14" i="4" s="1"/>
  <c r="O15" i="4" s="1"/>
  <c r="I29" i="8"/>
  <c r="I30" i="8" s="1"/>
  <c r="N14" i="8"/>
  <c r="N15" i="8" s="1"/>
  <c r="G89" i="9"/>
  <c r="G90" i="9" s="1"/>
  <c r="E29" i="9"/>
  <c r="E30" i="9" s="1"/>
  <c r="I29" i="9"/>
  <c r="I30" i="9" s="1"/>
  <c r="H14" i="8"/>
  <c r="H15" i="8" s="1"/>
  <c r="I14" i="8"/>
  <c r="I15" i="8" s="1"/>
  <c r="C89" i="6"/>
  <c r="C90" i="6" s="1"/>
  <c r="I59" i="6"/>
  <c r="I60" i="6" s="1"/>
  <c r="G59" i="6"/>
  <c r="G60" i="6" s="1"/>
  <c r="E59" i="6"/>
  <c r="E60" i="6" s="1"/>
  <c r="H59" i="6"/>
  <c r="H60" i="6" s="1"/>
  <c r="F59" i="6"/>
  <c r="F60" i="6" s="1"/>
  <c r="J59" i="6"/>
  <c r="J60" i="6" s="1"/>
  <c r="D59" i="6"/>
  <c r="D60" i="6" s="1"/>
  <c r="B59" i="6"/>
  <c r="B60" i="6" s="1"/>
  <c r="C59" i="6"/>
  <c r="C60" i="6" s="1"/>
  <c r="K59" i="6"/>
  <c r="K60" i="6" s="1"/>
  <c r="K44" i="6"/>
  <c r="K45" i="6" s="1"/>
  <c r="I89" i="4"/>
  <c r="I90" i="4" s="1"/>
  <c r="I59" i="4"/>
  <c r="I60" i="4" s="1"/>
  <c r="M59" i="4"/>
  <c r="M60" i="4" s="1"/>
  <c r="M29" i="4"/>
  <c r="M30" i="4" s="1"/>
  <c r="Q161" i="5"/>
  <c r="Q162" i="5" s="1"/>
  <c r="K161" i="5"/>
  <c r="K162" i="5" s="1"/>
  <c r="F161" i="5"/>
  <c r="F162" i="5" s="1"/>
  <c r="D161" i="5"/>
  <c r="D162" i="5" s="1"/>
  <c r="J161" i="5"/>
  <c r="J162" i="5" s="1"/>
  <c r="J146" i="5"/>
  <c r="J147" i="5" s="1"/>
  <c r="I146" i="5"/>
  <c r="I147" i="5" s="1"/>
  <c r="I131" i="5"/>
  <c r="I132" i="5" s="1"/>
  <c r="H131" i="5"/>
  <c r="H132" i="5" s="1"/>
  <c r="L131" i="5"/>
  <c r="L132" i="5" s="1"/>
  <c r="L116" i="5"/>
  <c r="L117" i="5" s="1"/>
  <c r="H116" i="5"/>
  <c r="H117" i="5" s="1"/>
  <c r="K116" i="5"/>
  <c r="K117" i="5" s="1"/>
  <c r="J101" i="5"/>
  <c r="J102" i="5" s="1"/>
  <c r="K101" i="5"/>
  <c r="K102" i="5" s="1"/>
  <c r="J86" i="5"/>
  <c r="J87" i="5" s="1"/>
  <c r="I86" i="5"/>
  <c r="I87" i="5" s="1"/>
  <c r="L71" i="5"/>
  <c r="L72" i="5" s="1"/>
  <c r="U55" i="5"/>
  <c r="U56" i="5" s="1"/>
  <c r="U57" i="5" s="1"/>
  <c r="C56" i="5"/>
  <c r="C57" i="5" s="1"/>
  <c r="I71" i="5"/>
  <c r="I72" i="5" s="1"/>
  <c r="H71" i="5"/>
  <c r="H72" i="5" s="1"/>
  <c r="I149" i="9"/>
  <c r="I150" i="9" s="1"/>
  <c r="H149" i="9"/>
  <c r="H150" i="9" s="1"/>
  <c r="G14" i="5"/>
  <c r="T28" i="5"/>
  <c r="U70" i="5"/>
  <c r="I149" i="8"/>
  <c r="I150" i="8" s="1"/>
  <c r="H149" i="8"/>
  <c r="H150" i="8" s="1"/>
  <c r="F149" i="8"/>
  <c r="F150" i="8" s="1"/>
  <c r="N149" i="8"/>
  <c r="N150" i="8" s="1"/>
  <c r="E149" i="9"/>
  <c r="E150" i="9" s="1"/>
  <c r="F14" i="9"/>
  <c r="F15" i="9" s="1"/>
  <c r="I42" i="5"/>
  <c r="J28" i="5"/>
  <c r="M14" i="5"/>
  <c r="B14" i="5"/>
  <c r="T42" i="5"/>
  <c r="D42" i="5"/>
  <c r="R14" i="5"/>
  <c r="G42" i="5"/>
  <c r="C14" i="5"/>
  <c r="R42" i="5"/>
  <c r="G28" i="5"/>
  <c r="S42" i="5"/>
  <c r="P14" i="5"/>
  <c r="L149" i="8"/>
  <c r="L150" i="8" s="1"/>
  <c r="J14" i="9"/>
  <c r="J15" i="9" s="1"/>
  <c r="D14" i="9"/>
  <c r="D15" i="9" s="1"/>
  <c r="C14" i="9"/>
  <c r="C15" i="9" s="1"/>
  <c r="U85" i="5"/>
  <c r="N28" i="5"/>
  <c r="O42" i="5"/>
  <c r="U115" i="5"/>
  <c r="F149" i="9"/>
  <c r="F150" i="9" s="1"/>
  <c r="E164" i="9"/>
  <c r="C149" i="9"/>
  <c r="C150" i="9" s="1"/>
  <c r="B14" i="9"/>
  <c r="B15" i="9" s="1"/>
  <c r="J149" i="9"/>
  <c r="J150" i="9" s="1"/>
  <c r="K14" i="9"/>
  <c r="K15" i="9" s="1"/>
  <c r="U130" i="5"/>
  <c r="E42" i="5"/>
  <c r="F28" i="5"/>
  <c r="L14" i="5"/>
  <c r="P42" i="5"/>
  <c r="R28" i="5"/>
  <c r="H14" i="5"/>
  <c r="U41" i="5"/>
  <c r="U42" i="5" s="1"/>
  <c r="C42" i="5"/>
  <c r="O28" i="5"/>
  <c r="N42" i="5"/>
  <c r="C28" i="5"/>
  <c r="M28" i="5"/>
  <c r="Q28" i="5"/>
  <c r="J149" i="8"/>
  <c r="J150" i="8" s="1"/>
  <c r="K149" i="9"/>
  <c r="K150" i="9" s="1"/>
  <c r="M42" i="5"/>
  <c r="Q14" i="5"/>
  <c r="B42" i="5"/>
  <c r="H42" i="5"/>
  <c r="E28" i="5"/>
  <c r="S14" i="5"/>
  <c r="P28" i="5"/>
  <c r="D14" i="5"/>
  <c r="I14" i="5"/>
  <c r="U100" i="5"/>
  <c r="D149" i="8"/>
  <c r="D150" i="8" s="1"/>
  <c r="E149" i="8"/>
  <c r="E150" i="8" s="1"/>
  <c r="G149" i="8"/>
  <c r="G150" i="8" s="1"/>
  <c r="U27" i="5"/>
  <c r="U28" i="5" s="1"/>
  <c r="M149" i="8"/>
  <c r="M150" i="8" s="1"/>
  <c r="C149" i="8"/>
  <c r="C150" i="8" s="1"/>
  <c r="K149" i="8"/>
  <c r="K150" i="8" s="1"/>
  <c r="B150" i="9"/>
  <c r="H14" i="9"/>
  <c r="H15" i="9" s="1"/>
  <c r="G149" i="9"/>
  <c r="G150" i="9" s="1"/>
  <c r="D149" i="9"/>
  <c r="D150" i="9" s="1"/>
  <c r="G14" i="9"/>
  <c r="G15" i="9" s="1"/>
  <c r="Q42" i="5"/>
  <c r="S28" i="5"/>
  <c r="B28" i="5"/>
  <c r="E14" i="5"/>
  <c r="L42" i="5"/>
  <c r="I28" i="5"/>
  <c r="F14" i="5"/>
  <c r="U145" i="5"/>
  <c r="D28" i="5"/>
  <c r="F42" i="5"/>
  <c r="T14" i="5"/>
  <c r="N14" i="5"/>
  <c r="U160" i="5"/>
  <c r="O14" i="5"/>
  <c r="U13" i="5"/>
  <c r="U14" i="5" s="1"/>
  <c r="S24" i="17"/>
  <c r="U40" i="17"/>
  <c r="Q40" i="17"/>
  <c r="S26" i="17"/>
  <c r="Q24" i="17"/>
  <c r="X24" i="17" s="1"/>
  <c r="S16" i="17"/>
  <c r="U16" i="17" s="1"/>
  <c r="U14" i="17"/>
  <c r="O43" i="17"/>
  <c r="Q43" i="17" s="1"/>
  <c r="Y42" i="17"/>
  <c r="B16" i="17"/>
  <c r="B14" i="17"/>
  <c r="M26" i="17"/>
  <c r="T26" i="17" s="1"/>
  <c r="U26" i="17" s="1"/>
  <c r="M24" i="17"/>
  <c r="T24" i="17" s="1"/>
  <c r="U24" i="17" s="1"/>
  <c r="S18" i="17"/>
  <c r="W22" i="17"/>
  <c r="Q22" i="17"/>
  <c r="X22" i="17" s="1"/>
  <c r="U41" i="17"/>
  <c r="Y40" i="17"/>
  <c r="Q30" i="17"/>
  <c r="X30" i="17" s="1"/>
  <c r="P45" i="17"/>
  <c r="Y41" i="17"/>
  <c r="M18" i="17"/>
  <c r="T18" i="17" s="1"/>
  <c r="W16" i="17"/>
  <c r="Q20" i="17"/>
  <c r="X20" i="17" s="1"/>
  <c r="W20" i="17"/>
  <c r="U43" i="17"/>
  <c r="U44" i="17"/>
  <c r="Q41" i="17"/>
  <c r="W30" i="17"/>
  <c r="O42" i="17"/>
  <c r="Q42" i="17" s="1"/>
  <c r="X45" i="17"/>
  <c r="Y43" i="17"/>
  <c r="S30" i="17"/>
  <c r="M30" i="17"/>
  <c r="T30" i="17" s="1"/>
  <c r="S22" i="17"/>
  <c r="M22" i="17"/>
  <c r="T22" i="17" s="1"/>
  <c r="Q16" i="17"/>
  <c r="X16" i="17" s="1"/>
  <c r="Q28" i="17"/>
  <c r="X28" i="17" s="1"/>
  <c r="W28" i="17"/>
  <c r="Y44" i="17"/>
  <c r="B20" i="17"/>
  <c r="H45" i="17"/>
  <c r="O44" i="17"/>
  <c r="Q44" i="17" s="1"/>
  <c r="G45" i="17"/>
  <c r="S28" i="17"/>
  <c r="M28" i="17"/>
  <c r="T28" i="17" s="1"/>
  <c r="W26" i="17"/>
  <c r="Q26" i="17"/>
  <c r="X26" i="17" s="1"/>
  <c r="S20" i="17"/>
  <c r="U20" i="17" s="1"/>
  <c r="W18" i="17"/>
  <c r="Q18" i="17"/>
  <c r="X18" i="17" s="1"/>
  <c r="W14" i="17"/>
  <c r="Q14" i="17"/>
  <c r="X14" i="17" s="1"/>
  <c r="C24" i="17"/>
  <c r="W24" i="17"/>
  <c r="B165" i="4" l="1"/>
  <c r="B10" i="18" s="1"/>
  <c r="B11" i="18" s="1"/>
  <c r="B6" i="19"/>
  <c r="B7" i="19" s="1"/>
  <c r="B9" i="18"/>
  <c r="C165" i="4"/>
  <c r="C10" i="18" s="1"/>
  <c r="C11" i="18" s="1"/>
  <c r="D11" i="18" s="1"/>
  <c r="E11" i="18" s="1"/>
  <c r="F11" i="18" s="1"/>
  <c r="G11" i="18" s="1"/>
  <c r="H11" i="18" s="1"/>
  <c r="I11" i="18" s="1"/>
  <c r="J11" i="18" s="1"/>
  <c r="K11" i="18" s="1"/>
  <c r="L11" i="18" s="1"/>
  <c r="M11" i="18" s="1"/>
  <c r="N11" i="18" s="1"/>
  <c r="C9" i="18"/>
  <c r="C6" i="19"/>
  <c r="F165" i="6"/>
  <c r="I19" i="19"/>
  <c r="I19" i="18"/>
  <c r="W45" i="17"/>
  <c r="S45" i="17"/>
  <c r="B165" i="6"/>
  <c r="E20" i="18" s="1"/>
  <c r="E21" i="18" s="1"/>
  <c r="F21" i="18" s="1"/>
  <c r="G21" i="18" s="1"/>
  <c r="H21" i="18" s="1"/>
  <c r="I21" i="18" s="1"/>
  <c r="J21" i="18" s="1"/>
  <c r="K21" i="18" s="1"/>
  <c r="L21" i="18" s="1"/>
  <c r="M21" i="18" s="1"/>
  <c r="N21" i="18" s="1"/>
  <c r="E19" i="18"/>
  <c r="E19" i="19"/>
  <c r="E20" i="19" s="1"/>
  <c r="F20" i="19" s="1"/>
  <c r="G20" i="19" s="1"/>
  <c r="H20" i="19" s="1"/>
  <c r="H24" i="18"/>
  <c r="H25" i="19"/>
  <c r="J165" i="4"/>
  <c r="J10" i="18" s="1"/>
  <c r="J6" i="19"/>
  <c r="J9" i="18"/>
  <c r="I165" i="6"/>
  <c r="L19" i="18"/>
  <c r="L19" i="19"/>
  <c r="O13" i="8"/>
  <c r="B104" i="7"/>
  <c r="B105" i="7" s="1"/>
  <c r="U103" i="7"/>
  <c r="U104" i="7" s="1"/>
  <c r="U105" i="7" s="1"/>
  <c r="B74" i="7"/>
  <c r="B75" i="7" s="1"/>
  <c r="U73" i="7"/>
  <c r="U74" i="7" s="1"/>
  <c r="U75" i="7" s="1"/>
  <c r="B89" i="7"/>
  <c r="B90" i="7" s="1"/>
  <c r="U88" i="7"/>
  <c r="U89" i="7" s="1"/>
  <c r="U90" i="7" s="1"/>
  <c r="B149" i="7"/>
  <c r="B150" i="7" s="1"/>
  <c r="U148" i="7"/>
  <c r="U149" i="7" s="1"/>
  <c r="U150" i="7" s="1"/>
  <c r="B119" i="7"/>
  <c r="B120" i="7" s="1"/>
  <c r="U118" i="7"/>
  <c r="U119" i="7" s="1"/>
  <c r="U120" i="7" s="1"/>
  <c r="B164" i="7"/>
  <c r="B165" i="7" s="1"/>
  <c r="U163" i="7"/>
  <c r="U164" i="7" s="1"/>
  <c r="U165" i="7" s="1"/>
  <c r="B59" i="7"/>
  <c r="B60" i="7" s="1"/>
  <c r="U58" i="7"/>
  <c r="U59" i="7" s="1"/>
  <c r="U60" i="7" s="1"/>
  <c r="Y22" i="17"/>
  <c r="Q45" i="17"/>
  <c r="O45" i="17"/>
  <c r="B134" i="7"/>
  <c r="B135" i="7" s="1"/>
  <c r="U133" i="7"/>
  <c r="U134" i="7" s="1"/>
  <c r="U135" i="7" s="1"/>
  <c r="U43" i="7"/>
  <c r="U44" i="7" s="1"/>
  <c r="U45" i="7" s="1"/>
  <c r="U28" i="7"/>
  <c r="U29" i="7" s="1"/>
  <c r="U30" i="7" s="1"/>
  <c r="Y20" i="17"/>
  <c r="L58" i="9"/>
  <c r="O28" i="8"/>
  <c r="L133" i="9"/>
  <c r="L103" i="9"/>
  <c r="L13" i="9"/>
  <c r="L148" i="9"/>
  <c r="L149" i="9" s="1"/>
  <c r="L150" i="9" s="1"/>
  <c r="L43" i="9"/>
  <c r="L28" i="9"/>
  <c r="L118" i="9"/>
  <c r="L163" i="9"/>
  <c r="L73" i="9"/>
  <c r="L88" i="9"/>
  <c r="B149" i="8"/>
  <c r="B150" i="8" s="1"/>
  <c r="O148" i="8"/>
  <c r="O149" i="8" s="1"/>
  <c r="O150" i="8" s="1"/>
  <c r="O133" i="8"/>
  <c r="O58" i="8"/>
  <c r="O43" i="8"/>
  <c r="O88" i="8"/>
  <c r="O118" i="8"/>
  <c r="O103" i="8"/>
  <c r="O163" i="8"/>
  <c r="O73" i="8"/>
  <c r="K164" i="9"/>
  <c r="H164" i="9"/>
  <c r="E165" i="9"/>
  <c r="J164" i="9"/>
  <c r="G164" i="9"/>
  <c r="I164" i="9"/>
  <c r="B165" i="9"/>
  <c r="E25" i="18" s="1"/>
  <c r="E26" i="18" s="1"/>
  <c r="F26" i="18" s="1"/>
  <c r="G26" i="18" s="1"/>
  <c r="H26" i="18" s="1"/>
  <c r="I26" i="18" s="1"/>
  <c r="J26" i="18" s="1"/>
  <c r="K26" i="18" s="1"/>
  <c r="L26" i="18" s="1"/>
  <c r="M26" i="18" s="1"/>
  <c r="N26" i="18" s="1"/>
  <c r="C164" i="9"/>
  <c r="D164" i="9"/>
  <c r="F164" i="9"/>
  <c r="I134" i="9"/>
  <c r="I135" i="9" s="1"/>
  <c r="H134" i="9"/>
  <c r="H135" i="9" s="1"/>
  <c r="E134" i="9"/>
  <c r="E135" i="9" s="1"/>
  <c r="J134" i="9"/>
  <c r="J135" i="9" s="1"/>
  <c r="D134" i="9"/>
  <c r="D135" i="9" s="1"/>
  <c r="K134" i="9"/>
  <c r="K135" i="9" s="1"/>
  <c r="F134" i="9"/>
  <c r="F135" i="9" s="1"/>
  <c r="G134" i="9"/>
  <c r="G135" i="9" s="1"/>
  <c r="B134" i="9"/>
  <c r="B135" i="9" s="1"/>
  <c r="C134" i="9"/>
  <c r="C135" i="9" s="1"/>
  <c r="G119" i="9"/>
  <c r="G120" i="9" s="1"/>
  <c r="E119" i="9"/>
  <c r="E120" i="9" s="1"/>
  <c r="J119" i="9"/>
  <c r="J120" i="9" s="1"/>
  <c r="F119" i="9"/>
  <c r="F120" i="9" s="1"/>
  <c r="K119" i="9"/>
  <c r="K120" i="9" s="1"/>
  <c r="H119" i="9"/>
  <c r="H120" i="9" s="1"/>
  <c r="D119" i="9"/>
  <c r="D120" i="9" s="1"/>
  <c r="B119" i="9"/>
  <c r="B120" i="9" s="1"/>
  <c r="I119" i="9"/>
  <c r="I120" i="9" s="1"/>
  <c r="C119" i="9"/>
  <c r="C120" i="9" s="1"/>
  <c r="I104" i="9"/>
  <c r="I105" i="9" s="1"/>
  <c r="K104" i="9"/>
  <c r="K105" i="9" s="1"/>
  <c r="C104" i="9"/>
  <c r="C105" i="9" s="1"/>
  <c r="F104" i="9"/>
  <c r="F105" i="9" s="1"/>
  <c r="G104" i="9"/>
  <c r="G105" i="9" s="1"/>
  <c r="D104" i="9"/>
  <c r="D105" i="9" s="1"/>
  <c r="J104" i="9"/>
  <c r="J105" i="9" s="1"/>
  <c r="B104" i="9"/>
  <c r="B105" i="9" s="1"/>
  <c r="H104" i="9"/>
  <c r="H105" i="9" s="1"/>
  <c r="E104" i="9"/>
  <c r="E105" i="9" s="1"/>
  <c r="F89" i="9"/>
  <c r="F90" i="9" s="1"/>
  <c r="C89" i="9"/>
  <c r="C90" i="9" s="1"/>
  <c r="D89" i="9"/>
  <c r="D90" i="9" s="1"/>
  <c r="J89" i="9"/>
  <c r="J90" i="9" s="1"/>
  <c r="K89" i="9"/>
  <c r="K90" i="9" s="1"/>
  <c r="E89" i="9"/>
  <c r="E90" i="9" s="1"/>
  <c r="I89" i="9"/>
  <c r="I90" i="9" s="1"/>
  <c r="H89" i="9"/>
  <c r="H90" i="9" s="1"/>
  <c r="B89" i="9"/>
  <c r="B90" i="9" s="1"/>
  <c r="H74" i="9"/>
  <c r="H75" i="9" s="1"/>
  <c r="D74" i="9"/>
  <c r="D75" i="9" s="1"/>
  <c r="I74" i="9"/>
  <c r="I75" i="9" s="1"/>
  <c r="F74" i="9"/>
  <c r="F75" i="9" s="1"/>
  <c r="K74" i="9"/>
  <c r="K75" i="9" s="1"/>
  <c r="C74" i="9"/>
  <c r="C75" i="9" s="1"/>
  <c r="B74" i="9"/>
  <c r="B75" i="9" s="1"/>
  <c r="G74" i="9"/>
  <c r="G75" i="9" s="1"/>
  <c r="E74" i="9"/>
  <c r="E75" i="9" s="1"/>
  <c r="J74" i="9"/>
  <c r="J75" i="9" s="1"/>
  <c r="E59" i="9"/>
  <c r="E60" i="9" s="1"/>
  <c r="D59" i="9"/>
  <c r="D60" i="9" s="1"/>
  <c r="I59" i="9"/>
  <c r="I60" i="9" s="1"/>
  <c r="H59" i="9"/>
  <c r="H60" i="9" s="1"/>
  <c r="F59" i="9"/>
  <c r="F60" i="9" s="1"/>
  <c r="K59" i="9"/>
  <c r="K60" i="9" s="1"/>
  <c r="B59" i="9"/>
  <c r="B60" i="9" s="1"/>
  <c r="G59" i="9"/>
  <c r="G60" i="9" s="1"/>
  <c r="C59" i="9"/>
  <c r="C60" i="9" s="1"/>
  <c r="J59" i="9"/>
  <c r="J60" i="9" s="1"/>
  <c r="D44" i="9"/>
  <c r="D45" i="9" s="1"/>
  <c r="I44" i="9"/>
  <c r="I45" i="9" s="1"/>
  <c r="F44" i="9"/>
  <c r="F45" i="9" s="1"/>
  <c r="J44" i="9"/>
  <c r="J45" i="9" s="1"/>
  <c r="E44" i="9"/>
  <c r="E45" i="9" s="1"/>
  <c r="B44" i="9"/>
  <c r="B45" i="9" s="1"/>
  <c r="C44" i="9"/>
  <c r="C45" i="9" s="1"/>
  <c r="H44" i="9"/>
  <c r="H45" i="9" s="1"/>
  <c r="G44" i="9"/>
  <c r="G45" i="9" s="1"/>
  <c r="K44" i="9"/>
  <c r="K45" i="9" s="1"/>
  <c r="H29" i="9"/>
  <c r="H30" i="9" s="1"/>
  <c r="K29" i="9"/>
  <c r="K30" i="9" s="1"/>
  <c r="F29" i="9"/>
  <c r="F30" i="9" s="1"/>
  <c r="C29" i="9"/>
  <c r="C30" i="9" s="1"/>
  <c r="D29" i="9"/>
  <c r="D30" i="9" s="1"/>
  <c r="B29" i="9"/>
  <c r="B30" i="9" s="1"/>
  <c r="G29" i="9"/>
  <c r="G30" i="9" s="1"/>
  <c r="N164" i="8"/>
  <c r="D164" i="8"/>
  <c r="G164" i="8"/>
  <c r="J164" i="8"/>
  <c r="L164" i="8"/>
  <c r="F164" i="8"/>
  <c r="B164" i="8"/>
  <c r="E164" i="8"/>
  <c r="K164" i="8"/>
  <c r="C164" i="8"/>
  <c r="I164" i="8"/>
  <c r="H164" i="8"/>
  <c r="M164" i="8"/>
  <c r="N134" i="8"/>
  <c r="N135" i="8" s="1"/>
  <c r="K134" i="8"/>
  <c r="K135" i="8" s="1"/>
  <c r="L134" i="8"/>
  <c r="L135" i="8" s="1"/>
  <c r="G134" i="8"/>
  <c r="G135" i="8" s="1"/>
  <c r="I134" i="8"/>
  <c r="I135" i="8" s="1"/>
  <c r="J134" i="8"/>
  <c r="J135" i="8" s="1"/>
  <c r="M134" i="8"/>
  <c r="M135" i="8" s="1"/>
  <c r="D134" i="8"/>
  <c r="D135" i="8" s="1"/>
  <c r="F134" i="8"/>
  <c r="F135" i="8" s="1"/>
  <c r="B134" i="8"/>
  <c r="B135" i="8" s="1"/>
  <c r="C134" i="8"/>
  <c r="C135" i="8" s="1"/>
  <c r="E134" i="8"/>
  <c r="E135" i="8" s="1"/>
  <c r="H134" i="8"/>
  <c r="H135" i="8" s="1"/>
  <c r="C119" i="8"/>
  <c r="C120" i="8" s="1"/>
  <c r="N119" i="8"/>
  <c r="N120" i="8" s="1"/>
  <c r="G119" i="8"/>
  <c r="G120" i="8" s="1"/>
  <c r="M119" i="8"/>
  <c r="M120" i="8" s="1"/>
  <c r="B119" i="8"/>
  <c r="B120" i="8" s="1"/>
  <c r="J119" i="8"/>
  <c r="J120" i="8" s="1"/>
  <c r="L119" i="8"/>
  <c r="L120" i="8" s="1"/>
  <c r="F119" i="8"/>
  <c r="F120" i="8" s="1"/>
  <c r="E119" i="8"/>
  <c r="E120" i="8" s="1"/>
  <c r="H119" i="8"/>
  <c r="H120" i="8" s="1"/>
  <c r="K119" i="8"/>
  <c r="K120" i="8" s="1"/>
  <c r="I119" i="8"/>
  <c r="I120" i="8" s="1"/>
  <c r="D119" i="8"/>
  <c r="D120" i="8" s="1"/>
  <c r="B104" i="8"/>
  <c r="B105" i="8" s="1"/>
  <c r="K104" i="8"/>
  <c r="K105" i="8" s="1"/>
  <c r="N104" i="8"/>
  <c r="N105" i="8" s="1"/>
  <c r="C104" i="8"/>
  <c r="C105" i="8" s="1"/>
  <c r="D104" i="8"/>
  <c r="D105" i="8" s="1"/>
  <c r="H104" i="8"/>
  <c r="H105" i="8" s="1"/>
  <c r="I104" i="8"/>
  <c r="I105" i="8" s="1"/>
  <c r="J104" i="8"/>
  <c r="J105" i="8" s="1"/>
  <c r="G104" i="8"/>
  <c r="G105" i="8" s="1"/>
  <c r="F104" i="8"/>
  <c r="F105" i="8" s="1"/>
  <c r="E104" i="8"/>
  <c r="E105" i="8" s="1"/>
  <c r="L104" i="8"/>
  <c r="L105" i="8" s="1"/>
  <c r="M104" i="8"/>
  <c r="M105" i="8" s="1"/>
  <c r="B89" i="8"/>
  <c r="B90" i="8" s="1"/>
  <c r="G89" i="8"/>
  <c r="G90" i="8" s="1"/>
  <c r="N89" i="8"/>
  <c r="N90" i="8" s="1"/>
  <c r="M89" i="8"/>
  <c r="M90" i="8" s="1"/>
  <c r="F89" i="8"/>
  <c r="F90" i="8" s="1"/>
  <c r="D89" i="8"/>
  <c r="D90" i="8" s="1"/>
  <c r="L89" i="8"/>
  <c r="L90" i="8" s="1"/>
  <c r="I89" i="8"/>
  <c r="I90" i="8" s="1"/>
  <c r="J89" i="8"/>
  <c r="J90" i="8" s="1"/>
  <c r="K89" i="8"/>
  <c r="K90" i="8" s="1"/>
  <c r="H89" i="8"/>
  <c r="H90" i="8" s="1"/>
  <c r="C89" i="8"/>
  <c r="C90" i="8" s="1"/>
  <c r="E89" i="8"/>
  <c r="E90" i="8" s="1"/>
  <c r="K74" i="8"/>
  <c r="K75" i="8" s="1"/>
  <c r="E74" i="8"/>
  <c r="E75" i="8" s="1"/>
  <c r="H74" i="8"/>
  <c r="H75" i="8" s="1"/>
  <c r="C74" i="8"/>
  <c r="C75" i="8" s="1"/>
  <c r="D74" i="8"/>
  <c r="D75" i="8" s="1"/>
  <c r="F74" i="8"/>
  <c r="F75" i="8" s="1"/>
  <c r="J74" i="8"/>
  <c r="J75" i="8" s="1"/>
  <c r="B74" i="8"/>
  <c r="B75" i="8" s="1"/>
  <c r="I74" i="8"/>
  <c r="I75" i="8" s="1"/>
  <c r="M74" i="8"/>
  <c r="M75" i="8" s="1"/>
  <c r="L74" i="8"/>
  <c r="L75" i="8" s="1"/>
  <c r="N74" i="8"/>
  <c r="N75" i="8" s="1"/>
  <c r="G74" i="8"/>
  <c r="G75" i="8" s="1"/>
  <c r="D59" i="8"/>
  <c r="D60" i="8" s="1"/>
  <c r="B59" i="8"/>
  <c r="B60" i="8" s="1"/>
  <c r="N59" i="8"/>
  <c r="N60" i="8" s="1"/>
  <c r="M59" i="8"/>
  <c r="M60" i="8" s="1"/>
  <c r="L59" i="8"/>
  <c r="L60" i="8" s="1"/>
  <c r="J59" i="8"/>
  <c r="J60" i="8" s="1"/>
  <c r="F59" i="8"/>
  <c r="F60" i="8" s="1"/>
  <c r="C59" i="8"/>
  <c r="C60" i="8" s="1"/>
  <c r="I59" i="8"/>
  <c r="I60" i="8" s="1"/>
  <c r="E59" i="8"/>
  <c r="E60" i="8" s="1"/>
  <c r="K59" i="8"/>
  <c r="K60" i="8" s="1"/>
  <c r="G59" i="8"/>
  <c r="G60" i="8" s="1"/>
  <c r="H59" i="8"/>
  <c r="H60" i="8" s="1"/>
  <c r="E44" i="8"/>
  <c r="E45" i="8" s="1"/>
  <c r="L44" i="8"/>
  <c r="L45" i="8" s="1"/>
  <c r="F44" i="8"/>
  <c r="F45" i="8" s="1"/>
  <c r="K44" i="8"/>
  <c r="K45" i="8" s="1"/>
  <c r="B44" i="8"/>
  <c r="B45" i="8" s="1"/>
  <c r="N44" i="8"/>
  <c r="N45" i="8" s="1"/>
  <c r="G44" i="8"/>
  <c r="G45" i="8" s="1"/>
  <c r="D44" i="8"/>
  <c r="D45" i="8" s="1"/>
  <c r="H44" i="8"/>
  <c r="H45" i="8" s="1"/>
  <c r="C44" i="8"/>
  <c r="C45" i="8" s="1"/>
  <c r="I44" i="8"/>
  <c r="I45" i="8" s="1"/>
  <c r="M44" i="8"/>
  <c r="M45" i="8" s="1"/>
  <c r="J44" i="8"/>
  <c r="J45" i="8" s="1"/>
  <c r="B29" i="8"/>
  <c r="B30" i="8" s="1"/>
  <c r="D29" i="8"/>
  <c r="D30" i="8" s="1"/>
  <c r="E29" i="8"/>
  <c r="E30" i="8" s="1"/>
  <c r="C29" i="8"/>
  <c r="C30" i="8" s="1"/>
  <c r="M29" i="8"/>
  <c r="M30" i="8" s="1"/>
  <c r="J29" i="8"/>
  <c r="J30" i="8" s="1"/>
  <c r="H29" i="8"/>
  <c r="H30" i="8" s="1"/>
  <c r="G29" i="8"/>
  <c r="G30" i="8" s="1"/>
  <c r="F29" i="8"/>
  <c r="F30" i="8" s="1"/>
  <c r="K29" i="8"/>
  <c r="K30" i="8" s="1"/>
  <c r="L29" i="8"/>
  <c r="L30" i="8" s="1"/>
  <c r="N29" i="8"/>
  <c r="N30" i="8" s="1"/>
  <c r="J14" i="8"/>
  <c r="J15" i="8" s="1"/>
  <c r="D14" i="8"/>
  <c r="D15" i="8" s="1"/>
  <c r="G14" i="8"/>
  <c r="G15" i="8" s="1"/>
  <c r="F14" i="8"/>
  <c r="F15" i="8" s="1"/>
  <c r="K14" i="8"/>
  <c r="K15" i="8" s="1"/>
  <c r="E14" i="8"/>
  <c r="E15" i="8" s="1"/>
  <c r="C14" i="8"/>
  <c r="C15" i="8" s="1"/>
  <c r="B14" i="8"/>
  <c r="B15" i="8" s="1"/>
  <c r="M14" i="8"/>
  <c r="M15" i="8" s="1"/>
  <c r="L164" i="6"/>
  <c r="L165" i="6" s="1"/>
  <c r="L149" i="6"/>
  <c r="L150" i="6" s="1"/>
  <c r="L134" i="6"/>
  <c r="L135" i="6" s="1"/>
  <c r="L119" i="6"/>
  <c r="L120" i="6" s="1"/>
  <c r="L104" i="6"/>
  <c r="L105" i="6" s="1"/>
  <c r="L89" i="6"/>
  <c r="L90" i="6" s="1"/>
  <c r="L74" i="6"/>
  <c r="L75" i="6" s="1"/>
  <c r="L59" i="6"/>
  <c r="L60" i="6" s="1"/>
  <c r="L44" i="6"/>
  <c r="L45" i="6" s="1"/>
  <c r="L29" i="6"/>
  <c r="L30" i="6" s="1"/>
  <c r="L14" i="6"/>
  <c r="L15" i="6" s="1"/>
  <c r="O164" i="4"/>
  <c r="O165" i="4" s="1"/>
  <c r="O149" i="4"/>
  <c r="O150" i="4" s="1"/>
  <c r="O134" i="4"/>
  <c r="O135" i="4" s="1"/>
  <c r="O119" i="4"/>
  <c r="O120" i="4" s="1"/>
  <c r="O104" i="4"/>
  <c r="O105" i="4" s="1"/>
  <c r="O89" i="4"/>
  <c r="O90" i="4" s="1"/>
  <c r="O74" i="4"/>
  <c r="O75" i="4" s="1"/>
  <c r="O59" i="4"/>
  <c r="O60" i="4" s="1"/>
  <c r="O44" i="4"/>
  <c r="O45" i="4" s="1"/>
  <c r="O29" i="4"/>
  <c r="O30" i="4" s="1"/>
  <c r="U161" i="5"/>
  <c r="U162" i="5" s="1"/>
  <c r="U146" i="5"/>
  <c r="U147" i="5" s="1"/>
  <c r="U131" i="5"/>
  <c r="U132" i="5" s="1"/>
  <c r="U116" i="5"/>
  <c r="U117" i="5" s="1"/>
  <c r="U101" i="5"/>
  <c r="U102" i="5" s="1"/>
  <c r="U86" i="5"/>
  <c r="U87" i="5" s="1"/>
  <c r="U71" i="5"/>
  <c r="U72" i="5" s="1"/>
  <c r="Y16" i="17"/>
  <c r="Y30" i="17"/>
  <c r="Y24" i="17"/>
  <c r="Y45" i="17"/>
  <c r="U18" i="17"/>
  <c r="Y28" i="17"/>
  <c r="U30" i="17"/>
  <c r="U22" i="17"/>
  <c r="Y18" i="17"/>
  <c r="U42" i="17"/>
  <c r="U45" i="17" s="1"/>
  <c r="U28" i="17"/>
  <c r="Y14" i="17"/>
  <c r="Y26" i="17"/>
  <c r="M165" i="8" l="1"/>
  <c r="M15" i="18" s="1"/>
  <c r="M12" i="19"/>
  <c r="M14" i="18"/>
  <c r="H165" i="8"/>
  <c r="H15" i="18" s="1"/>
  <c r="H14" i="18"/>
  <c r="H12" i="19"/>
  <c r="E165" i="8"/>
  <c r="E15" i="18" s="1"/>
  <c r="E12" i="19"/>
  <c r="E14" i="18"/>
  <c r="J165" i="8"/>
  <c r="J15" i="18" s="1"/>
  <c r="J14" i="18"/>
  <c r="J12" i="19"/>
  <c r="F165" i="9"/>
  <c r="I24" i="18"/>
  <c r="I25" i="19"/>
  <c r="I165" i="9"/>
  <c r="L24" i="18"/>
  <c r="L25" i="19"/>
  <c r="H165" i="9"/>
  <c r="K24" i="18"/>
  <c r="K25" i="19"/>
  <c r="I20" i="19"/>
  <c r="J20" i="19" s="1"/>
  <c r="K20" i="19" s="1"/>
  <c r="L20" i="19" s="1"/>
  <c r="M20" i="19" s="1"/>
  <c r="N20" i="19" s="1"/>
  <c r="L165" i="8"/>
  <c r="L15" i="18" s="1"/>
  <c r="L14" i="18"/>
  <c r="L12" i="19"/>
  <c r="I165" i="8"/>
  <c r="I15" i="18" s="1"/>
  <c r="I12" i="19"/>
  <c r="I14" i="18"/>
  <c r="B165" i="8"/>
  <c r="B15" i="18" s="1"/>
  <c r="B16" i="18" s="1"/>
  <c r="B14" i="18"/>
  <c r="B12" i="19"/>
  <c r="B13" i="19" s="1"/>
  <c r="G165" i="8"/>
  <c r="G15" i="18" s="1"/>
  <c r="G14" i="18"/>
  <c r="G12" i="19"/>
  <c r="D165" i="9"/>
  <c r="G24" i="18"/>
  <c r="G25" i="19"/>
  <c r="G165" i="9"/>
  <c r="J24" i="18"/>
  <c r="J25" i="19"/>
  <c r="K165" i="9"/>
  <c r="N24" i="18"/>
  <c r="N25" i="19"/>
  <c r="C7" i="19"/>
  <c r="D7" i="19" s="1"/>
  <c r="E7" i="19" s="1"/>
  <c r="F7" i="19" s="1"/>
  <c r="G7" i="19" s="1"/>
  <c r="H7" i="19" s="1"/>
  <c r="I7" i="19" s="1"/>
  <c r="J7" i="19" s="1"/>
  <c r="K7" i="19" s="1"/>
  <c r="L7" i="19" s="1"/>
  <c r="M7" i="19" s="1"/>
  <c r="N7" i="19" s="1"/>
  <c r="K165" i="8"/>
  <c r="K15" i="18" s="1"/>
  <c r="K14" i="18"/>
  <c r="K12" i="19"/>
  <c r="N165" i="8"/>
  <c r="N15" i="18" s="1"/>
  <c r="N14" i="18"/>
  <c r="N12" i="19"/>
  <c r="C165" i="8"/>
  <c r="C15" i="18" s="1"/>
  <c r="C16" i="18" s="1"/>
  <c r="D16" i="18" s="1"/>
  <c r="E16" i="18" s="1"/>
  <c r="F16" i="18" s="1"/>
  <c r="C14" i="18"/>
  <c r="C12" i="19"/>
  <c r="F165" i="8"/>
  <c r="F15" i="18" s="1"/>
  <c r="F14" i="18"/>
  <c r="F12" i="19"/>
  <c r="D165" i="8"/>
  <c r="D15" i="18" s="1"/>
  <c r="D14" i="18"/>
  <c r="D12" i="19"/>
  <c r="C165" i="9"/>
  <c r="F24" i="18"/>
  <c r="F25" i="19"/>
  <c r="F26" i="19" s="1"/>
  <c r="G26" i="19" s="1"/>
  <c r="H26" i="19" s="1"/>
  <c r="I26" i="19" s="1"/>
  <c r="J165" i="9"/>
  <c r="M24" i="18"/>
  <c r="M25" i="19"/>
  <c r="L164" i="9"/>
  <c r="L165" i="9" s="1"/>
  <c r="L134" i="9"/>
  <c r="L135" i="9" s="1"/>
  <c r="L119" i="9"/>
  <c r="L120" i="9" s="1"/>
  <c r="L104" i="9"/>
  <c r="L105" i="9" s="1"/>
  <c r="L89" i="9"/>
  <c r="L90" i="9" s="1"/>
  <c r="L74" i="9"/>
  <c r="L75" i="9" s="1"/>
  <c r="L59" i="9"/>
  <c r="L60" i="9" s="1"/>
  <c r="L44" i="9"/>
  <c r="L45" i="9" s="1"/>
  <c r="L29" i="9"/>
  <c r="L30" i="9" s="1"/>
  <c r="L14" i="9"/>
  <c r="L15" i="9" s="1"/>
  <c r="O164" i="8"/>
  <c r="O165" i="8" s="1"/>
  <c r="O134" i="8"/>
  <c r="O135" i="8" s="1"/>
  <c r="O119" i="8"/>
  <c r="O120" i="8" s="1"/>
  <c r="O104" i="8"/>
  <c r="O105" i="8" s="1"/>
  <c r="O89" i="8"/>
  <c r="O90" i="8" s="1"/>
  <c r="O74" i="8"/>
  <c r="O75" i="8" s="1"/>
  <c r="O59" i="8"/>
  <c r="O60" i="8" s="1"/>
  <c r="O44" i="8"/>
  <c r="O45" i="8" s="1"/>
  <c r="O29" i="8"/>
  <c r="O30" i="8" s="1"/>
  <c r="O14" i="8"/>
  <c r="O15" i="8" s="1"/>
  <c r="G16" i="18" l="1"/>
  <c r="H16" i="18" s="1"/>
  <c r="I16" i="18" s="1"/>
  <c r="J16" i="18" s="1"/>
  <c r="K16" i="18" s="1"/>
  <c r="L16" i="18" s="1"/>
  <c r="M16" i="18" s="1"/>
  <c r="N16" i="18" s="1"/>
  <c r="C13" i="19"/>
  <c r="D13" i="19" s="1"/>
  <c r="E13" i="19" s="1"/>
  <c r="F13" i="19" s="1"/>
  <c r="G13" i="19" s="1"/>
  <c r="H13" i="19" s="1"/>
  <c r="I13" i="19" s="1"/>
  <c r="J13" i="19" s="1"/>
  <c r="K13" i="19" s="1"/>
  <c r="L13" i="19" s="1"/>
  <c r="M13" i="19" s="1"/>
  <c r="N13" i="19" s="1"/>
  <c r="J26" i="19"/>
  <c r="K26" i="19" s="1"/>
  <c r="L26" i="19" s="1"/>
  <c r="M26" i="19" s="1"/>
  <c r="N26" i="19" s="1"/>
  <c r="V9" i="1"/>
  <c r="V8" i="1"/>
  <c r="V7" i="1"/>
  <c r="V6" i="1"/>
  <c r="V59" i="1" l="1"/>
  <c r="V58" i="1"/>
  <c r="V57" i="1"/>
  <c r="V56" i="1"/>
  <c r="V54" i="1"/>
  <c r="V53" i="1"/>
  <c r="V52" i="1"/>
  <c r="V51" i="1"/>
  <c r="V49" i="1"/>
  <c r="V48" i="1"/>
  <c r="V47" i="1"/>
  <c r="V46" i="1"/>
  <c r="V44" i="1"/>
  <c r="V43" i="1"/>
  <c r="V42" i="1"/>
  <c r="V41" i="1"/>
  <c r="V37" i="1"/>
  <c r="V36" i="1"/>
  <c r="V34" i="1"/>
  <c r="V33" i="1"/>
  <c r="V32" i="1"/>
  <c r="V31" i="1"/>
  <c r="V21" i="1"/>
  <c r="V16" i="1"/>
  <c r="V17" i="1"/>
  <c r="V18" i="1"/>
  <c r="V19" i="1"/>
  <c r="V14" i="1"/>
  <c r="V13" i="1"/>
  <c r="V12" i="1"/>
  <c r="V11" i="1"/>
  <c r="O15" i="2"/>
  <c r="O16" i="2"/>
  <c r="O17" i="2"/>
  <c r="O18" i="2"/>
  <c r="O19" i="2"/>
  <c r="O20" i="2"/>
  <c r="O21" i="2"/>
  <c r="O22" i="2"/>
  <c r="O23" i="2"/>
  <c r="O24" i="2"/>
  <c r="O14" i="2"/>
  <c r="N14" i="2"/>
  <c r="N19" i="2"/>
  <c r="N20" i="2"/>
  <c r="N24" i="2"/>
  <c r="M22" i="2"/>
  <c r="M18" i="2"/>
  <c r="M15" i="2"/>
  <c r="M23" i="2"/>
  <c r="L22" i="2"/>
  <c r="V22" i="1"/>
  <c r="V23" i="1"/>
  <c r="V24" i="1"/>
  <c r="V39" i="1"/>
  <c r="V38" i="1"/>
  <c r="V29" i="1"/>
  <c r="V28" i="1"/>
  <c r="V27" i="1"/>
  <c r="V26" i="1"/>
  <c r="N17" i="2"/>
  <c r="N21" i="2"/>
  <c r="N23" i="2"/>
  <c r="L16" i="2"/>
  <c r="L17" i="2"/>
  <c r="L21" i="2"/>
  <c r="L24" i="2"/>
  <c r="M17" i="2"/>
  <c r="M21" i="2"/>
  <c r="M20" i="2" l="1"/>
  <c r="N16" i="2"/>
  <c r="L20" i="2"/>
  <c r="M24" i="2"/>
  <c r="M16" i="2"/>
  <c r="L14" i="2"/>
  <c r="L18" i="2"/>
  <c r="N15" i="2"/>
  <c r="M19" i="2"/>
  <c r="M14" i="2"/>
  <c r="L23" i="2"/>
  <c r="L19" i="2"/>
  <c r="L15" i="2"/>
  <c r="N22" i="2"/>
  <c r="N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Graham McGrath</author>
  </authors>
  <commentList>
    <comment ref="F4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Graham McGrath:
Assumption that townhouse is functionally the same as a terraced house
</t>
        </r>
      </text>
    </comment>
    <comment ref="F6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Graham McGrath:
Assumption that townhosue is functionally the same as a terraced house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Graham McGrath</author>
  </authors>
  <commentList>
    <comment ref="M1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Townhouse assumed to be analogous to terraced house</t>
        </r>
      </text>
    </comment>
    <comment ref="O13" authorId="0" shapeId="0" xr:uid="{00000000-0006-0000-0300-000002000000}">
      <text>
        <r>
          <rPr>
            <sz val="9"/>
            <color indexed="81"/>
            <rFont val="Tahoma"/>
            <family val="2"/>
          </rPr>
          <t>Graham McGrath
Bungalows are assumed to be anaglous to detached homes in terms of energy performance. Therefore detached home value iis mean value of detachde and bungalows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Graham McGrath</author>
  </authors>
  <commentList>
    <comment ref="V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incorrect total appearing each value is correct perentage. Stumped?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Graham McGrath</author>
  </authors>
  <commentList>
    <comment ref="B1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2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43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58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73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88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103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118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133" authorId="0" shapeId="0" xr:uid="{00000000-0006-0000-0500-000009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148" authorId="0" shapeId="0" xr:uid="{00000000-0006-0000-0500-00000A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163" authorId="0" shapeId="0" xr:uid="{00000000-0006-0000-0500-00000B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Graham McGrath</author>
  </authors>
  <commentList>
    <comment ref="B1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B2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B4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B58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B73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B88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B103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B118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B133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B148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B163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Graham McGrath</author>
  </authors>
  <commentList>
    <comment ref="B1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C1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H13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28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C28" authorId="0" shapeId="0" xr:uid="{00000000-0006-0000-0900-000005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H28" authorId="0" shapeId="0" xr:uid="{00000000-0006-0000-0900-000006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43" authorId="0" shapeId="0" xr:uid="{00000000-0006-0000-0900-000007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C43" authorId="0" shapeId="0" xr:uid="{00000000-0006-0000-0900-000008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H43" authorId="0" shapeId="0" xr:uid="{00000000-0006-0000-0900-000009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58" authorId="0" shapeId="0" xr:uid="{00000000-0006-0000-0900-00000A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C58" authorId="0" shapeId="0" xr:uid="{00000000-0006-0000-0900-00000B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H58" authorId="0" shapeId="0" xr:uid="{00000000-0006-0000-0900-00000C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73" authorId="0" shapeId="0" xr:uid="{00000000-0006-0000-0900-00000D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C73" authorId="0" shapeId="0" xr:uid="{00000000-0006-0000-0900-00000E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H73" authorId="0" shapeId="0" xr:uid="{00000000-0006-0000-0900-00000F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88" authorId="0" shapeId="0" xr:uid="{00000000-0006-0000-0900-000010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C88" authorId="0" shapeId="0" xr:uid="{00000000-0006-0000-0900-000011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H88" authorId="0" shapeId="0" xr:uid="{00000000-0006-0000-0900-000012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103" authorId="0" shapeId="0" xr:uid="{00000000-0006-0000-0900-000013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C103" authorId="0" shapeId="0" xr:uid="{00000000-0006-0000-0900-000014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H103" authorId="0" shapeId="0" xr:uid="{00000000-0006-0000-0900-000015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118" authorId="0" shapeId="0" xr:uid="{00000000-0006-0000-0900-000016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C118" authorId="0" shapeId="0" xr:uid="{00000000-0006-0000-0900-000017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H118" authorId="0" shapeId="0" xr:uid="{00000000-0006-0000-0900-000018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133" authorId="0" shapeId="0" xr:uid="{00000000-0006-0000-0900-000019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C133" authorId="0" shapeId="0" xr:uid="{00000000-0006-0000-0900-00001A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H133" authorId="0" shapeId="0" xr:uid="{00000000-0006-0000-0900-00001B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148" authorId="0" shapeId="0" xr:uid="{00000000-0006-0000-0900-00001C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C148" authorId="0" shapeId="0" xr:uid="{00000000-0006-0000-0900-00001D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H148" authorId="0" shapeId="0" xr:uid="{00000000-0006-0000-0900-00001E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163" authorId="0" shapeId="0" xr:uid="{00000000-0006-0000-0900-00001F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C163" authorId="0" shapeId="0" xr:uid="{00000000-0006-0000-0900-000020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H163" authorId="0" shapeId="0" xr:uid="{00000000-0006-0000-0900-000021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Graham McGrath</author>
  </authors>
  <commentList>
    <comment ref="B13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C13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H13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27" authorId="0" shapeId="0" xr:uid="{00000000-0006-0000-0A00-000004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C27" authorId="0" shapeId="0" xr:uid="{00000000-0006-0000-0A00-000005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H27" authorId="0" shapeId="0" xr:uid="{00000000-0006-0000-0A00-000006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41" authorId="0" shapeId="0" xr:uid="{00000000-0006-0000-0A00-000007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C41" authorId="0" shapeId="0" xr:uid="{00000000-0006-0000-0A00-000008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H41" authorId="0" shapeId="0" xr:uid="{00000000-0006-0000-0A00-000009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55" authorId="0" shapeId="0" xr:uid="{00000000-0006-0000-0A00-00000A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C55" authorId="0" shapeId="0" xr:uid="{00000000-0006-0000-0A00-00000B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H55" authorId="0" shapeId="0" xr:uid="{00000000-0006-0000-0A00-00000C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70" authorId="0" shapeId="0" xr:uid="{00000000-0006-0000-0A00-00000D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C70" authorId="0" shapeId="0" xr:uid="{00000000-0006-0000-0A00-00000E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H70" authorId="0" shapeId="0" xr:uid="{00000000-0006-0000-0A00-00000F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85" authorId="0" shapeId="0" xr:uid="{00000000-0006-0000-0A00-000010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C85" authorId="0" shapeId="0" xr:uid="{00000000-0006-0000-0A00-000011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H85" authorId="0" shapeId="0" xr:uid="{00000000-0006-0000-0A00-000012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100" authorId="0" shapeId="0" xr:uid="{00000000-0006-0000-0A00-000013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C100" authorId="0" shapeId="0" xr:uid="{00000000-0006-0000-0A00-000014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H100" authorId="0" shapeId="0" xr:uid="{00000000-0006-0000-0A00-000015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115" authorId="0" shapeId="0" xr:uid="{00000000-0006-0000-0A00-000016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C115" authorId="0" shapeId="0" xr:uid="{00000000-0006-0000-0A00-000017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H115" authorId="0" shapeId="0" xr:uid="{00000000-0006-0000-0A00-000018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130" authorId="0" shapeId="0" xr:uid="{00000000-0006-0000-0A00-000019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C130" authorId="0" shapeId="0" xr:uid="{00000000-0006-0000-0A00-00001A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H130" authorId="0" shapeId="0" xr:uid="{00000000-0006-0000-0A00-00001B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145" authorId="0" shapeId="0" xr:uid="{00000000-0006-0000-0A00-00001C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C145" authorId="0" shapeId="0" xr:uid="{00000000-0006-0000-0A00-00001D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H145" authorId="0" shapeId="0" xr:uid="{00000000-0006-0000-0A00-00001E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  <comment ref="B160" authorId="0" shapeId="0" xr:uid="{00000000-0006-0000-0A00-00001F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C160" authorId="0" shapeId="0" xr:uid="{00000000-0006-0000-0A00-000020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the build rate is assumed to be constant, therefore the per year values are the same untill the change in grid factors in 25/26. Therefore calculations have not been repeated. </t>
        </r>
      </text>
    </comment>
    <comment ref="H160" authorId="0" shapeId="0" xr:uid="{00000000-0006-0000-0A00-000021000000}">
      <text>
        <r>
          <rPr>
            <b/>
            <sz val="9"/>
            <color indexed="81"/>
            <rFont val="Tahoma"/>
            <family val="2"/>
          </rPr>
          <t>Graham McGrath:</t>
        </r>
        <r>
          <rPr>
            <sz val="9"/>
            <color indexed="81"/>
            <rFont val="Tahoma"/>
            <family val="2"/>
          </rPr>
          <t xml:space="preserve">
values are the same untill the change in grid factors in 2030
. Therefore calculations have not been repeated </t>
        </r>
      </text>
    </comment>
  </commentList>
</comments>
</file>

<file path=xl/sharedStrings.xml><?xml version="1.0" encoding="utf-8"?>
<sst xmlns="http://schemas.openxmlformats.org/spreadsheetml/2006/main" count="2308" uniqueCount="135">
  <si>
    <t>Year</t>
  </si>
  <si>
    <t>19/20</t>
  </si>
  <si>
    <t>20/21</t>
  </si>
  <si>
    <t>21/22</t>
  </si>
  <si>
    <t>22/23</t>
  </si>
  <si>
    <t>23/24</t>
  </si>
  <si>
    <t>24/25</t>
  </si>
  <si>
    <t>25/26</t>
  </si>
  <si>
    <t>26/27</t>
  </si>
  <si>
    <t>27/28</t>
  </si>
  <si>
    <t>28/29</t>
  </si>
  <si>
    <t>29/30</t>
  </si>
  <si>
    <t>30/31</t>
  </si>
  <si>
    <t>31/32</t>
  </si>
  <si>
    <t>32/33</t>
  </si>
  <si>
    <t>33/34</t>
  </si>
  <si>
    <t>34/35</t>
  </si>
  <si>
    <t>35/36</t>
  </si>
  <si>
    <t>Total</t>
  </si>
  <si>
    <t>Existing commitments</t>
  </si>
  <si>
    <t>detached</t>
  </si>
  <si>
    <t>semi</t>
  </si>
  <si>
    <t>flat</t>
  </si>
  <si>
    <t>36/37</t>
  </si>
  <si>
    <t>37/38</t>
  </si>
  <si>
    <t>Bolton</t>
  </si>
  <si>
    <t>Terraced</t>
  </si>
  <si>
    <t>Bury</t>
  </si>
  <si>
    <t>Manchester</t>
  </si>
  <si>
    <t>Oldham</t>
  </si>
  <si>
    <t>Rochdale</t>
  </si>
  <si>
    <t>Salford</t>
  </si>
  <si>
    <t>Stockport</t>
  </si>
  <si>
    <t>Tameside</t>
  </si>
  <si>
    <t>Trafford</t>
  </si>
  <si>
    <t>Wigan</t>
  </si>
  <si>
    <t>GMCA</t>
  </si>
  <si>
    <t>Bungalo</t>
  </si>
  <si>
    <t>Flat</t>
  </si>
  <si>
    <t>terrace</t>
  </si>
  <si>
    <t>semi-detached</t>
  </si>
  <si>
    <t>dectached</t>
  </si>
  <si>
    <t>All properties</t>
  </si>
  <si>
    <t>Terrace</t>
  </si>
  <si>
    <t>Semi-detached</t>
  </si>
  <si>
    <t>Detached</t>
  </si>
  <si>
    <t xml:space="preserve">Greater Manchester </t>
  </si>
  <si>
    <t xml:space="preserve">Proportional split </t>
  </si>
  <si>
    <t>19% onsite improvement over building regs part L (business as usual sap10) + True Zero Carbon (including unregulated)</t>
  </si>
  <si>
    <t>Gas Spec CO2  (tonnes)</t>
  </si>
  <si>
    <t>Gas Spec fund (£)</t>
  </si>
  <si>
    <t>ASHP Spec  (£)</t>
  </si>
  <si>
    <t>ASHP Spec (tonnes)</t>
  </si>
  <si>
    <t xml:space="preserve">Manchester </t>
  </si>
  <si>
    <t>Wiggan</t>
  </si>
  <si>
    <t>AS fund Scenario  - £???/tonne</t>
  </si>
  <si>
    <t>AS fund Scenario - £???/tonne</t>
  </si>
  <si>
    <t>Gas</t>
  </si>
  <si>
    <t>2020-2025</t>
  </si>
  <si>
    <t>2025-2030</t>
  </si>
  <si>
    <t>2030-2035</t>
  </si>
  <si>
    <t>Electricity</t>
  </si>
  <si>
    <t xml:space="preserve">19% onsite improvement over building regs part L (business as usual sap10.1) </t>
  </si>
  <si>
    <t xml:space="preserve"> CO2  (tonnes)</t>
  </si>
  <si>
    <t xml:space="preserve"> fund (£)</t>
  </si>
  <si>
    <t>Townhouse</t>
  </si>
  <si>
    <t xml:space="preserve">average flat </t>
  </si>
  <si>
    <t xml:space="preserve">Large flat </t>
  </si>
  <si>
    <t xml:space="preserve">Small flat </t>
  </si>
  <si>
    <t>Semi-D</t>
  </si>
  <si>
    <t xml:space="preserve">Detached </t>
  </si>
  <si>
    <t>CO2 kg per year</t>
  </si>
  <si>
    <t xml:space="preserve">Electricity (kWh/year) </t>
  </si>
  <si>
    <t>Electricity (kWh/year)</t>
  </si>
  <si>
    <t>Gas (kWh/year)</t>
  </si>
  <si>
    <t xml:space="preserve">Total Carbon (SAP10.1) </t>
  </si>
  <si>
    <t xml:space="preserve">Unregulated Carbon (SAP10.1) </t>
  </si>
  <si>
    <t xml:space="preserve">Regulated Carbon (SAP10.1) </t>
  </si>
  <si>
    <t xml:space="preserve">Unregulated Energy Use (Predicted) based on SAP2012 figures </t>
  </si>
  <si>
    <t>Regulated Energy Use (Part L2013 Notional)</t>
  </si>
  <si>
    <t xml:space="preserve">Townhouse and Flat Archetypes condensed </t>
  </si>
  <si>
    <t>Small Flat - High Rise</t>
  </si>
  <si>
    <t>Large Flat - High Rise</t>
  </si>
  <si>
    <t>Town House - End</t>
  </si>
  <si>
    <t>Town House - Detatched</t>
  </si>
  <si>
    <t>Small Flat  - Low Rise</t>
  </si>
  <si>
    <t>Mid-terrace</t>
  </si>
  <si>
    <t>Large Flat - Low Rise</t>
  </si>
  <si>
    <t>End-terrace</t>
  </si>
  <si>
    <t xml:space="preserve">Detatched </t>
  </si>
  <si>
    <t>Total reg</t>
  </si>
  <si>
    <t>TER (SAP10)</t>
  </si>
  <si>
    <t>TER (2012)</t>
  </si>
  <si>
    <t>Floor Area</t>
  </si>
  <si>
    <t xml:space="preserve">Total Carbon (SAP2012) </t>
  </si>
  <si>
    <t xml:space="preserve">Unregulated Carbon (SAP212) </t>
  </si>
  <si>
    <t xml:space="preserve">Regulated Carbon (SAP2012) </t>
  </si>
  <si>
    <t xml:space="preserve">Property Type </t>
  </si>
  <si>
    <t xml:space="preserve">Validator </t>
  </si>
  <si>
    <t>SAP 10</t>
  </si>
  <si>
    <t>SAP 2012</t>
  </si>
  <si>
    <t xml:space="preserve">Regulated and Unregulated </t>
  </si>
  <si>
    <t>Carbon Factors (SAP10.1)</t>
  </si>
  <si>
    <t>Carbon Factors (SAP2012)</t>
  </si>
  <si>
    <t xml:space="preserve">You can ignore the below - we just used these to confirm that the numbers were transferred correctly </t>
  </si>
  <si>
    <t xml:space="preserve">We do not intend to dwell too much on SAP2012 predictions - please note </t>
  </si>
  <si>
    <t xml:space="preserve">2030-2035 </t>
  </si>
  <si>
    <t>remaining carbon after 19% improvement over part L regulated emissions</t>
  </si>
  <si>
    <t>remaining carbon after 20% improvement over part L regulated emissions</t>
  </si>
  <si>
    <t>remaining carbon after 31% improvement over part L regulated emissions</t>
  </si>
  <si>
    <t xml:space="preserve"> CO2  (kg)</t>
  </si>
  <si>
    <t>C02 (Tonnes)</t>
  </si>
  <si>
    <t xml:space="preserve"> CO2  kg</t>
  </si>
  <si>
    <t>CO2 tonnes</t>
  </si>
  <si>
    <t>AS fund Scenario 1</t>
  </si>
  <si>
    <t>AS fund Scenario  2</t>
  </si>
  <si>
    <t>AS fund Scenario  - 3</t>
  </si>
  <si>
    <t>AS fund Scenario  - 4</t>
  </si>
  <si>
    <t>AS fund Scenario  1</t>
  </si>
  <si>
    <t>Scenario 1: 80% onsite regulated emissions reductions over building regulations part L  post 2025 including offset fund payment for all remaining regulated emissions.</t>
  </si>
  <si>
    <t>password for protected sheets:</t>
  </si>
  <si>
    <t>Scenario 2: 80% onsite regulated emissions reductions over building regulations part L post 2025 including offset fund payment for all remaining regulated and unregulated emissions.</t>
  </si>
  <si>
    <t>Scenario 3: 80% onsite regulated emissions reductions over building regulations part L  post 2028 including offset fund payment for all remaining regulated emissions.</t>
  </si>
  <si>
    <t xml:space="preserve">
Scenario 4: 80% onsite regulated emissions reductions over building regulations part L  post 2028 including offset fund payment for all remaining regulated and unregulated emissions.
</t>
  </si>
  <si>
    <t>remaining carbon after 80% improvement over part L regulated emissions</t>
  </si>
  <si>
    <t>Carbon Price (£) 2025 Start Date</t>
  </si>
  <si>
    <t xml:space="preserve">Carbon Price 2028 (£) start date </t>
  </si>
  <si>
    <t xml:space="preserve">Scenario 3: 80% reductions over building regulations post 2028 with offset fund for remaining regulated emissions.
</t>
  </si>
  <si>
    <t>Scenario 4: 80% reductions over building regulations post 2028 with offset fund for  remaining regulated and unregulated emissions.</t>
  </si>
  <si>
    <t>Scenario 1: 80%  reductions over building regulations  post 2025 with  offset fund for remaining regulated emissions.</t>
  </si>
  <si>
    <t>Scenario 2: 80%  reductions over building regulations post 2025 with offset fund  for  remaining regulated and unregulated emissions.</t>
  </si>
  <si>
    <t xml:space="preserve"> fund per year (£)</t>
  </si>
  <si>
    <t>co2 (tonnes)</t>
  </si>
  <si>
    <t xml:space="preserve">co2 tonnes </t>
  </si>
  <si>
    <t>AS fund Scenario  - £/tonne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</si>
</sst>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0000"/>
    <numFmt numFmtId="166" formatCode="&quot;£&quot;#,##0"/>
    <numFmt numFmtId="167" formatCode="&quot;£&quot;#,##0.00"/>
    <numFmt numFmtId="168" formatCode="_-&quot;£&quot;* #,##0_-;\-&quot;£&quot;* #,##0_-;_-&quot;£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0"/>
    <xf numFmtId="165" fontId="6" fillId="2" borderId="6" applyNumberFormat="0">
      <alignment horizontal="right" vertical="top"/>
    </xf>
    <xf numFmtId="0" fontId="6" fillId="2" borderId="7" applyFont="0" applyFill="0" applyAlignment="0"/>
    <xf numFmtId="44" fontId="1" fillId="0" borderId="0" applyFont="0" applyFill="0" applyBorder="0" applyAlignment="0" applyProtection="0"/>
    <xf numFmtId="0" fontId="14" fillId="0" borderId="0"/>
  </cellStyleXfs>
  <cellXfs count="346">
    <xf numFmtId="0" fontId="0" fillId="0" borderId="0" xfId="0"/>
    <xf numFmtId="0" fontId="7" fillId="3" borderId="0" xfId="3" applyFont="1" applyFill="1" applyBorder="1"/>
    <xf numFmtId="0" fontId="7" fillId="3" borderId="6" xfId="3" applyFont="1" applyFill="1" applyBorder="1"/>
    <xf numFmtId="0" fontId="7" fillId="3" borderId="0" xfId="3" applyFont="1" applyFill="1" applyBorder="1" applyAlignment="1"/>
    <xf numFmtId="165" fontId="7" fillId="3" borderId="0" xfId="4" applyNumberFormat="1" applyFont="1" applyFill="1" applyBorder="1" applyAlignment="1">
      <alignment horizontal="left" indent="5"/>
    </xf>
    <xf numFmtId="3" fontId="7" fillId="3" borderId="0" xfId="3" applyNumberFormat="1" applyFont="1" applyFill="1" applyBorder="1" applyAlignment="1">
      <alignment horizontal="right" wrapText="1"/>
    </xf>
    <xf numFmtId="0" fontId="7" fillId="3" borderId="0" xfId="3" applyNumberFormat="1" applyFont="1" applyFill="1" applyBorder="1" applyAlignment="1">
      <alignment horizontal="right" wrapText="1"/>
    </xf>
    <xf numFmtId="0" fontId="7" fillId="3" borderId="6" xfId="3" applyFont="1" applyFill="1" applyBorder="1" applyAlignment="1"/>
    <xf numFmtId="0" fontId="8" fillId="3" borderId="6" xfId="3" applyFont="1" applyFill="1" applyBorder="1" applyAlignment="1"/>
    <xf numFmtId="0" fontId="0" fillId="0" borderId="6" xfId="0" applyBorder="1"/>
    <xf numFmtId="0" fontId="8" fillId="3" borderId="6" xfId="3" applyFont="1" applyFill="1" applyBorder="1" applyAlignment="1">
      <alignment horizontal="left" vertical="center"/>
    </xf>
    <xf numFmtId="0" fontId="8" fillId="3" borderId="6" xfId="3" applyNumberFormat="1" applyFont="1" applyFill="1" applyBorder="1" applyAlignment="1">
      <alignment horizontal="left"/>
    </xf>
    <xf numFmtId="0" fontId="7" fillId="3" borderId="6" xfId="3" applyNumberFormat="1" applyFont="1" applyFill="1" applyBorder="1" applyAlignment="1">
      <alignment horizontal="right" wrapText="1"/>
    </xf>
    <xf numFmtId="0" fontId="7" fillId="3" borderId="6" xfId="3" applyFont="1" applyFill="1" applyBorder="1" applyAlignment="1">
      <alignment horizontal="right"/>
    </xf>
    <xf numFmtId="0" fontId="8" fillId="3" borderId="6" xfId="3" applyFont="1" applyFill="1" applyBorder="1" applyAlignment="1">
      <alignment horizontal="left"/>
    </xf>
    <xf numFmtId="0" fontId="7" fillId="5" borderId="0" xfId="3" applyFont="1" applyFill="1" applyBorder="1"/>
    <xf numFmtId="0" fontId="7" fillId="5" borderId="8" xfId="3" applyFont="1" applyFill="1" applyBorder="1"/>
    <xf numFmtId="0" fontId="8" fillId="5" borderId="0" xfId="3" applyFont="1" applyFill="1" applyBorder="1" applyAlignment="1">
      <alignment horizontal="center" vertical="center"/>
    </xf>
    <xf numFmtId="0" fontId="8" fillId="5" borderId="5" xfId="3" applyFont="1" applyFill="1" applyBorder="1" applyAlignment="1">
      <alignment horizontal="center" vertical="center"/>
    </xf>
    <xf numFmtId="3" fontId="7" fillId="3" borderId="0" xfId="3" applyNumberFormat="1" applyFont="1" applyFill="1" applyBorder="1" applyAlignment="1">
      <alignment horizontal="center" wrapText="1"/>
    </xf>
    <xf numFmtId="9" fontId="8" fillId="3" borderId="6" xfId="2" applyFont="1" applyFill="1" applyBorder="1" applyAlignment="1">
      <alignment horizontal="center" wrapText="1"/>
    </xf>
    <xf numFmtId="3" fontId="7" fillId="6" borderId="0" xfId="3" applyNumberFormat="1" applyFont="1" applyFill="1" applyBorder="1" applyAlignment="1">
      <alignment horizontal="center" wrapText="1"/>
    </xf>
    <xf numFmtId="0" fontId="7" fillId="6" borderId="0" xfId="3" applyFont="1" applyFill="1" applyBorder="1" applyAlignment="1"/>
    <xf numFmtId="9" fontId="8" fillId="6" borderId="6" xfId="2" applyFont="1" applyFill="1" applyBorder="1" applyAlignment="1">
      <alignment horizontal="center" wrapText="1"/>
    </xf>
    <xf numFmtId="0" fontId="7" fillId="6" borderId="6" xfId="3" applyFont="1" applyFill="1" applyBorder="1" applyAlignment="1"/>
    <xf numFmtId="0" fontId="8" fillId="5" borderId="13" xfId="3" applyFont="1" applyFill="1" applyBorder="1" applyAlignment="1">
      <alignment horizontal="center" vertical="center"/>
    </xf>
    <xf numFmtId="9" fontId="7" fillId="3" borderId="14" xfId="2" applyFont="1" applyFill="1" applyBorder="1" applyAlignment="1">
      <alignment horizontal="center"/>
    </xf>
    <xf numFmtId="9" fontId="7" fillId="6" borderId="14" xfId="2" applyFont="1" applyFill="1" applyBorder="1" applyAlignment="1">
      <alignment horizontal="center"/>
    </xf>
    <xf numFmtId="0" fontId="7" fillId="3" borderId="4" xfId="3" applyFont="1" applyFill="1" applyBorder="1"/>
    <xf numFmtId="0" fontId="8" fillId="3" borderId="8" xfId="3" applyFont="1" applyFill="1" applyBorder="1" applyAlignment="1"/>
    <xf numFmtId="0" fontId="7" fillId="3" borderId="8" xfId="3" applyFont="1" applyFill="1" applyBorder="1" applyAlignment="1"/>
    <xf numFmtId="0" fontId="8" fillId="5" borderId="15" xfId="3" applyFont="1" applyFill="1" applyBorder="1"/>
    <xf numFmtId="0" fontId="8" fillId="5" borderId="16" xfId="3" applyFont="1" applyFill="1" applyBorder="1" applyAlignment="1">
      <alignment horizontal="center" vertical="center"/>
    </xf>
    <xf numFmtId="0" fontId="8" fillId="5" borderId="17" xfId="3" applyFont="1" applyFill="1" applyBorder="1" applyAlignment="1">
      <alignment horizontal="center" vertical="center"/>
    </xf>
    <xf numFmtId="165" fontId="8" fillId="3" borderId="18" xfId="4" applyNumberFormat="1" applyFont="1" applyFill="1" applyBorder="1" applyAlignment="1">
      <alignment horizontal="left" wrapText="1"/>
    </xf>
    <xf numFmtId="9" fontId="8" fillId="3" borderId="19" xfId="2" applyFont="1" applyFill="1" applyBorder="1" applyAlignment="1">
      <alignment horizontal="center"/>
    </xf>
    <xf numFmtId="165" fontId="8" fillId="6" borderId="18" xfId="4" applyNumberFormat="1" applyFont="1" applyFill="1" applyBorder="1" applyAlignment="1">
      <alignment horizontal="left" wrapText="1"/>
    </xf>
    <xf numFmtId="165" fontId="8" fillId="3" borderId="20" xfId="4" applyNumberFormat="1" applyFont="1" applyFill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/>
    <xf numFmtId="1" fontId="2" fillId="0" borderId="0" xfId="0" applyNumberFormat="1" applyFont="1" applyAlignment="1"/>
    <xf numFmtId="0" fontId="0" fillId="0" borderId="0" xfId="0" applyFont="1" applyAlignment="1"/>
    <xf numFmtId="164" fontId="3" fillId="0" borderId="0" xfId="1" applyNumberFormat="1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8" fillId="3" borderId="21" xfId="2" applyNumberFormat="1" applyFont="1" applyFill="1" applyBorder="1" applyAlignment="1">
      <alignment horizontal="center" wrapText="1"/>
    </xf>
    <xf numFmtId="9" fontId="0" fillId="0" borderId="0" xfId="2" applyFont="1"/>
    <xf numFmtId="9" fontId="0" fillId="0" borderId="0" xfId="2" applyFont="1" applyAlignment="1">
      <alignment horizontal="center" vertical="center"/>
    </xf>
    <xf numFmtId="1" fontId="2" fillId="0" borderId="0" xfId="0" applyNumberFormat="1" applyFont="1" applyAlignment="1">
      <alignment horizontal="right"/>
    </xf>
    <xf numFmtId="164" fontId="2" fillId="0" borderId="0" xfId="1" applyNumberFormat="1" applyFont="1" applyAlignment="1"/>
    <xf numFmtId="165" fontId="8" fillId="3" borderId="0" xfId="4" applyNumberFormat="1" applyFont="1" applyFill="1" applyBorder="1" applyAlignment="1">
      <alignment horizontal="left" indent="3"/>
    </xf>
    <xf numFmtId="165" fontId="8" fillId="6" borderId="0" xfId="4" applyNumberFormat="1" applyFont="1" applyFill="1" applyBorder="1" applyAlignment="1">
      <alignment horizontal="left" indent="5"/>
    </xf>
    <xf numFmtId="165" fontId="8" fillId="3" borderId="0" xfId="4" applyNumberFormat="1" applyFont="1" applyFill="1" applyBorder="1" applyAlignment="1">
      <alignment horizontal="left" indent="5"/>
    </xf>
    <xf numFmtId="0" fontId="11" fillId="0" borderId="0" xfId="0" applyFont="1"/>
    <xf numFmtId="0" fontId="12" fillId="0" borderId="0" xfId="0" applyFont="1"/>
    <xf numFmtId="0" fontId="0" fillId="0" borderId="0" xfId="0" applyBorder="1"/>
    <xf numFmtId="0" fontId="0" fillId="0" borderId="10" xfId="0" applyBorder="1"/>
    <xf numFmtId="0" fontId="0" fillId="0" borderId="23" xfId="0" applyBorder="1"/>
    <xf numFmtId="0" fontId="0" fillId="6" borderId="6" xfId="0" applyFill="1" applyBorder="1"/>
    <xf numFmtId="0" fontId="0" fillId="7" borderId="0" xfId="0" applyFill="1"/>
    <xf numFmtId="164" fontId="4" fillId="7" borderId="0" xfId="1" applyNumberFormat="1" applyFont="1" applyFill="1" applyBorder="1" applyAlignment="1">
      <alignment horizontal="center" vertical="center"/>
    </xf>
    <xf numFmtId="0" fontId="0" fillId="7" borderId="6" xfId="0" applyFill="1" applyBorder="1"/>
    <xf numFmtId="0" fontId="0" fillId="7" borderId="10" xfId="0" applyFill="1" applyBorder="1"/>
    <xf numFmtId="1" fontId="0" fillId="7" borderId="0" xfId="0" applyNumberFormat="1" applyFill="1" applyBorder="1"/>
    <xf numFmtId="166" fontId="0" fillId="7" borderId="0" xfId="0" applyNumberFormat="1" applyFill="1" applyBorder="1"/>
    <xf numFmtId="3" fontId="0" fillId="7" borderId="23" xfId="0" applyNumberFormat="1" applyFill="1" applyBorder="1"/>
    <xf numFmtId="0" fontId="14" fillId="0" borderId="0" xfId="7"/>
    <xf numFmtId="0" fontId="14" fillId="8" borderId="0" xfId="7" applyFill="1"/>
    <xf numFmtId="0" fontId="14" fillId="9" borderId="0" xfId="7" applyFill="1"/>
    <xf numFmtId="0" fontId="14" fillId="10" borderId="0" xfId="7" applyFill="1"/>
    <xf numFmtId="0" fontId="14" fillId="7" borderId="0" xfId="7" applyFill="1"/>
    <xf numFmtId="0" fontId="14" fillId="11" borderId="0" xfId="7" applyFill="1"/>
    <xf numFmtId="0" fontId="14" fillId="12" borderId="0" xfId="7" applyFill="1"/>
    <xf numFmtId="1" fontId="14" fillId="9" borderId="0" xfId="7" applyNumberFormat="1" applyFill="1" applyAlignment="1">
      <alignment horizontal="center" vertical="center"/>
    </xf>
    <xf numFmtId="1" fontId="14" fillId="8" borderId="0" xfId="7" applyNumberFormat="1" applyFill="1" applyAlignment="1">
      <alignment horizontal="center" vertical="center"/>
    </xf>
    <xf numFmtId="1" fontId="14" fillId="10" borderId="0" xfId="7" applyNumberFormat="1" applyFill="1" applyAlignment="1">
      <alignment horizontal="center" vertical="center"/>
    </xf>
    <xf numFmtId="1" fontId="14" fillId="7" borderId="0" xfId="7" applyNumberFormat="1" applyFill="1" applyAlignment="1">
      <alignment horizontal="center" vertical="center"/>
    </xf>
    <xf numFmtId="0" fontId="14" fillId="7" borderId="0" xfId="7" applyFill="1" applyAlignment="1">
      <alignment horizontal="center" vertical="center"/>
    </xf>
    <xf numFmtId="1" fontId="14" fillId="4" borderId="0" xfId="7" applyNumberFormat="1" applyFill="1" applyBorder="1" applyAlignment="1">
      <alignment horizontal="center" vertical="center"/>
    </xf>
    <xf numFmtId="0" fontId="17" fillId="13" borderId="25" xfId="7" applyFont="1" applyFill="1" applyBorder="1" applyAlignment="1">
      <alignment vertical="center"/>
    </xf>
    <xf numFmtId="0" fontId="15" fillId="4" borderId="0" xfId="7" applyFont="1" applyFill="1" applyBorder="1" applyAlignment="1">
      <alignment horizontal="center" vertical="center"/>
    </xf>
    <xf numFmtId="1" fontId="14" fillId="4" borderId="0" xfId="7" applyNumberFormat="1" applyFill="1" applyBorder="1" applyAlignment="1">
      <alignment horizontal="center"/>
    </xf>
    <xf numFmtId="0" fontId="14" fillId="4" borderId="0" xfId="7" applyFill="1" applyBorder="1" applyAlignment="1">
      <alignment horizontal="center"/>
    </xf>
    <xf numFmtId="0" fontId="14" fillId="8" borderId="0" xfId="7" applyFill="1" applyAlignment="1">
      <alignment horizontal="center" vertical="center"/>
    </xf>
    <xf numFmtId="0" fontId="14" fillId="9" borderId="0" xfId="7" applyFill="1" applyAlignment="1">
      <alignment horizontal="center" vertical="center"/>
    </xf>
    <xf numFmtId="0" fontId="14" fillId="10" borderId="0" xfId="7" applyFill="1" applyAlignment="1">
      <alignment horizontal="center" vertical="center"/>
    </xf>
    <xf numFmtId="0" fontId="14" fillId="0" borderId="0" xfId="7" applyAlignment="1">
      <alignment horizontal="center"/>
    </xf>
    <xf numFmtId="0" fontId="16" fillId="8" borderId="0" xfId="7" applyFont="1" applyFill="1" applyAlignment="1">
      <alignment horizontal="center"/>
    </xf>
    <xf numFmtId="0" fontId="16" fillId="9" borderId="0" xfId="7" applyFont="1" applyFill="1" applyAlignment="1">
      <alignment horizontal="center"/>
    </xf>
    <xf numFmtId="0" fontId="16" fillId="10" borderId="0" xfId="7" applyFont="1" applyFill="1" applyAlignment="1">
      <alignment horizontal="center"/>
    </xf>
    <xf numFmtId="0" fontId="16" fillId="0" borderId="0" xfId="7" applyFont="1" applyAlignment="1">
      <alignment horizontal="center"/>
    </xf>
    <xf numFmtId="0" fontId="16" fillId="8" borderId="0" xfId="7" applyFont="1" applyFill="1"/>
    <xf numFmtId="0" fontId="16" fillId="9" borderId="0" xfId="7" applyFont="1" applyFill="1"/>
    <xf numFmtId="0" fontId="16" fillId="10" borderId="0" xfId="7" applyFont="1" applyFill="1"/>
    <xf numFmtId="0" fontId="14" fillId="14" borderId="0" xfId="7" applyFill="1" applyAlignment="1">
      <alignment horizontal="center"/>
    </xf>
    <xf numFmtId="1" fontId="14" fillId="7" borderId="0" xfId="7" applyNumberFormat="1" applyFill="1" applyAlignment="1">
      <alignment horizontal="center"/>
    </xf>
    <xf numFmtId="1" fontId="14" fillId="0" borderId="0" xfId="7" applyNumberFormat="1" applyAlignment="1">
      <alignment horizontal="center"/>
    </xf>
    <xf numFmtId="0" fontId="14" fillId="11" borderId="0" xfId="7" applyFill="1" applyAlignment="1">
      <alignment horizontal="center"/>
    </xf>
    <xf numFmtId="1" fontId="14" fillId="0" borderId="0" xfId="7" applyNumberFormat="1"/>
    <xf numFmtId="2" fontId="14" fillId="0" borderId="0" xfId="7" applyNumberFormat="1" applyAlignment="1">
      <alignment horizontal="center"/>
    </xf>
    <xf numFmtId="1" fontId="14" fillId="4" borderId="0" xfId="7" applyNumberFormat="1" applyFill="1" applyAlignment="1">
      <alignment horizontal="center"/>
    </xf>
    <xf numFmtId="0" fontId="14" fillId="4" borderId="0" xfId="7" applyFill="1" applyAlignment="1">
      <alignment horizontal="center"/>
    </xf>
    <xf numFmtId="1" fontId="14" fillId="11" borderId="0" xfId="7" applyNumberFormat="1" applyFill="1" applyAlignment="1">
      <alignment horizontal="center"/>
    </xf>
    <xf numFmtId="1" fontId="14" fillId="12" borderId="0" xfId="7" applyNumberFormat="1" applyFill="1"/>
    <xf numFmtId="0" fontId="16" fillId="7" borderId="0" xfId="7" applyFont="1" applyFill="1" applyAlignment="1">
      <alignment horizontal="center"/>
    </xf>
    <xf numFmtId="0" fontId="16" fillId="11" borderId="0" xfId="7" applyFont="1" applyFill="1" applyAlignment="1">
      <alignment horizontal="center"/>
    </xf>
    <xf numFmtId="0" fontId="16" fillId="7" borderId="0" xfId="7" applyFont="1" applyFill="1"/>
    <xf numFmtId="0" fontId="16" fillId="11" borderId="0" xfId="7" applyFont="1" applyFill="1"/>
    <xf numFmtId="0" fontId="16" fillId="0" borderId="0" xfId="7" applyFont="1"/>
    <xf numFmtId="0" fontId="14" fillId="7" borderId="0" xfId="7" applyFill="1" applyAlignment="1">
      <alignment horizontal="center" wrapText="1"/>
    </xf>
    <xf numFmtId="0" fontId="14" fillId="7" borderId="0" xfId="7" applyFill="1" applyAlignment="1">
      <alignment horizontal="center"/>
    </xf>
    <xf numFmtId="0" fontId="19" fillId="0" borderId="0" xfId="7" applyFont="1" applyAlignment="1">
      <alignment horizontal="center"/>
    </xf>
    <xf numFmtId="0" fontId="20" fillId="6" borderId="24" xfId="7" applyFont="1" applyFill="1" applyBorder="1" applyAlignment="1">
      <alignment horizontal="center"/>
    </xf>
    <xf numFmtId="0" fontId="20" fillId="6" borderId="21" xfId="7" applyFont="1" applyFill="1" applyBorder="1" applyAlignment="1">
      <alignment horizontal="center"/>
    </xf>
    <xf numFmtId="0" fontId="19" fillId="6" borderId="20" xfId="7" applyFont="1" applyFill="1" applyBorder="1" applyAlignment="1">
      <alignment horizontal="center"/>
    </xf>
    <xf numFmtId="0" fontId="19" fillId="6" borderId="18" xfId="7" applyFont="1" applyFill="1" applyBorder="1" applyAlignment="1">
      <alignment horizontal="center"/>
    </xf>
    <xf numFmtId="0" fontId="20" fillId="6" borderId="19" xfId="7" applyFont="1" applyFill="1" applyBorder="1" applyAlignment="1">
      <alignment horizontal="center"/>
    </xf>
    <xf numFmtId="0" fontId="20" fillId="6" borderId="6" xfId="7" applyFont="1" applyFill="1" applyBorder="1" applyAlignment="1">
      <alignment horizontal="center"/>
    </xf>
    <xf numFmtId="0" fontId="19" fillId="6" borderId="19" xfId="7" applyFont="1" applyFill="1" applyBorder="1" applyAlignment="1">
      <alignment horizontal="center"/>
    </xf>
    <xf numFmtId="0" fontId="19" fillId="6" borderId="6" xfId="7" applyFont="1" applyFill="1" applyBorder="1" applyAlignment="1">
      <alignment horizontal="center"/>
    </xf>
    <xf numFmtId="0" fontId="14" fillId="6" borderId="15" xfId="7" applyFill="1" applyBorder="1"/>
    <xf numFmtId="0" fontId="3" fillId="0" borderId="0" xfId="0" applyFont="1"/>
    <xf numFmtId="0" fontId="0" fillId="17" borderId="10" xfId="0" applyFill="1" applyBorder="1"/>
    <xf numFmtId="0" fontId="15" fillId="0" borderId="0" xfId="7" applyFont="1" applyBorder="1" applyAlignment="1">
      <alignment horizontal="center" vertical="center"/>
    </xf>
    <xf numFmtId="0" fontId="0" fillId="7" borderId="26" xfId="0" applyFill="1" applyBorder="1"/>
    <xf numFmtId="0" fontId="0" fillId="6" borderId="0" xfId="0" applyFill="1" applyBorder="1"/>
    <xf numFmtId="0" fontId="0" fillId="3" borderId="0" xfId="0" applyFill="1" applyBorder="1"/>
    <xf numFmtId="0" fontId="3" fillId="3" borderId="0" xfId="0" applyFont="1" applyFill="1" applyBorder="1"/>
    <xf numFmtId="0" fontId="3" fillId="7" borderId="0" xfId="0" applyFont="1" applyFill="1" applyBorder="1"/>
    <xf numFmtId="0" fontId="0" fillId="7" borderId="0" xfId="0" applyFill="1" applyBorder="1"/>
    <xf numFmtId="0" fontId="0" fillId="0" borderId="0" xfId="0"/>
    <xf numFmtId="0" fontId="0" fillId="0" borderId="6" xfId="0" applyBorder="1"/>
    <xf numFmtId="0" fontId="5" fillId="0" borderId="0" xfId="0" applyFont="1" applyAlignment="1">
      <alignment horizontal="center" vertical="center"/>
    </xf>
    <xf numFmtId="0" fontId="0" fillId="0" borderId="0" xfId="0" applyBorder="1"/>
    <xf numFmtId="0" fontId="0" fillId="0" borderId="10" xfId="0" applyBorder="1"/>
    <xf numFmtId="0" fontId="0" fillId="0" borderId="23" xfId="0" applyBorder="1"/>
    <xf numFmtId="0" fontId="0" fillId="6" borderId="6" xfId="0" applyFill="1" applyBorder="1"/>
    <xf numFmtId="0" fontId="0" fillId="7" borderId="0" xfId="0" applyFill="1"/>
    <xf numFmtId="164" fontId="4" fillId="7" borderId="0" xfId="1" applyNumberFormat="1" applyFont="1" applyFill="1" applyBorder="1" applyAlignment="1">
      <alignment horizontal="center" vertical="center"/>
    </xf>
    <xf numFmtId="0" fontId="0" fillId="7" borderId="10" xfId="0" applyFill="1" applyBorder="1"/>
    <xf numFmtId="1" fontId="0" fillId="7" borderId="0" xfId="0" applyNumberFormat="1" applyFill="1" applyBorder="1"/>
    <xf numFmtId="166" fontId="0" fillId="7" borderId="0" xfId="0" applyNumberFormat="1" applyFill="1" applyBorder="1"/>
    <xf numFmtId="3" fontId="0" fillId="7" borderId="23" xfId="0" applyNumberFormat="1" applyFill="1" applyBorder="1"/>
    <xf numFmtId="0" fontId="3" fillId="0" borderId="0" xfId="0" applyFont="1"/>
    <xf numFmtId="0" fontId="0" fillId="17" borderId="10" xfId="0" applyFill="1" applyBorder="1"/>
    <xf numFmtId="0" fontId="0" fillId="7" borderId="26" xfId="0" applyFill="1" applyBorder="1"/>
    <xf numFmtId="0" fontId="0" fillId="3" borderId="0" xfId="0" applyFill="1" applyBorder="1"/>
    <xf numFmtId="0" fontId="3" fillId="3" borderId="0" xfId="0" applyFont="1" applyFill="1" applyBorder="1"/>
    <xf numFmtId="0" fontId="3" fillId="6" borderId="0" xfId="0" applyFont="1" applyFill="1" applyBorder="1"/>
    <xf numFmtId="0" fontId="3" fillId="9" borderId="0" xfId="0" applyFont="1" applyFill="1" applyBorder="1"/>
    <xf numFmtId="0" fontId="0" fillId="3" borderId="6" xfId="0" applyFill="1" applyBorder="1"/>
    <xf numFmtId="0" fontId="3" fillId="6" borderId="6" xfId="0" applyFont="1" applyFill="1" applyBorder="1"/>
    <xf numFmtId="1" fontId="0" fillId="3" borderId="6" xfId="0" applyNumberFormat="1" applyFill="1" applyBorder="1" applyAlignment="1">
      <alignment horizontal="center" vertical="center"/>
    </xf>
    <xf numFmtId="1" fontId="0" fillId="7" borderId="6" xfId="0" applyNumberForma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5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64" fontId="24" fillId="0" borderId="4" xfId="1" applyNumberFormat="1" applyFont="1" applyFill="1" applyBorder="1" applyAlignment="1">
      <alignment horizontal="center" vertical="center"/>
    </xf>
    <xf numFmtId="1" fontId="25" fillId="6" borderId="6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" fontId="26" fillId="6" borderId="6" xfId="0" applyNumberFormat="1" applyFont="1" applyFill="1" applyBorder="1" applyAlignment="1">
      <alignment horizontal="center" vertical="center"/>
    </xf>
    <xf numFmtId="1" fontId="26" fillId="6" borderId="4" xfId="0" applyNumberFormat="1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5" fillId="17" borderId="9" xfId="0" applyFont="1" applyFill="1" applyBorder="1"/>
    <xf numFmtId="0" fontId="23" fillId="17" borderId="6" xfId="0" applyFont="1" applyFill="1" applyBorder="1"/>
    <xf numFmtId="0" fontId="27" fillId="0" borderId="22" xfId="0" applyFont="1" applyFill="1" applyBorder="1" applyAlignment="1">
      <alignment horizontal="right"/>
    </xf>
    <xf numFmtId="1" fontId="23" fillId="6" borderId="6" xfId="0" applyNumberFormat="1" applyFont="1" applyFill="1" applyBorder="1"/>
    <xf numFmtId="166" fontId="23" fillId="6" borderId="6" xfId="0" applyNumberFormat="1" applyFont="1" applyFill="1" applyBorder="1"/>
    <xf numFmtId="0" fontId="23" fillId="6" borderId="6" xfId="0" applyFont="1" applyFill="1" applyBorder="1"/>
    <xf numFmtId="0" fontId="27" fillId="0" borderId="12" xfId="0" applyFont="1" applyFill="1" applyBorder="1" applyAlignment="1">
      <alignment horizontal="right"/>
    </xf>
    <xf numFmtId="3" fontId="23" fillId="6" borderId="6" xfId="0" applyNumberFormat="1" applyFont="1" applyFill="1" applyBorder="1"/>
    <xf numFmtId="0" fontId="23" fillId="0" borderId="0" xfId="0" applyFont="1" applyAlignment="1"/>
    <xf numFmtId="164" fontId="5" fillId="0" borderId="0" xfId="1" applyNumberFormat="1" applyFont="1" applyAlignment="1"/>
    <xf numFmtId="1" fontId="23" fillId="0" borderId="0" xfId="0" applyNumberFormat="1" applyFont="1" applyAlignment="1"/>
    <xf numFmtId="164" fontId="23" fillId="0" borderId="0" xfId="1" applyNumberFormat="1" applyFont="1" applyAlignment="1"/>
    <xf numFmtId="0" fontId="5" fillId="0" borderId="9" xfId="0" applyFont="1" applyFill="1" applyBorder="1"/>
    <xf numFmtId="1" fontId="23" fillId="0" borderId="0" xfId="0" applyNumberFormat="1" applyFont="1" applyAlignment="1">
      <alignment horizontal="center" vertical="center"/>
    </xf>
    <xf numFmtId="0" fontId="24" fillId="6" borderId="6" xfId="0" applyFont="1" applyFill="1" applyBorder="1" applyAlignment="1">
      <alignment horizontal="center" vertical="center"/>
    </xf>
    <xf numFmtId="0" fontId="23" fillId="6" borderId="6" xfId="0" applyFont="1" applyFill="1" applyBorder="1" applyAlignment="1">
      <alignment horizontal="center" vertical="center"/>
    </xf>
    <xf numFmtId="0" fontId="23" fillId="6" borderId="4" xfId="0" applyFont="1" applyFill="1" applyBorder="1"/>
    <xf numFmtId="0" fontId="22" fillId="10" borderId="0" xfId="0" applyFont="1" applyFill="1"/>
    <xf numFmtId="0" fontId="24" fillId="10" borderId="2" xfId="0" applyFont="1" applyFill="1" applyBorder="1" applyAlignment="1">
      <alignment horizontal="center" vertical="center"/>
    </xf>
    <xf numFmtId="1" fontId="25" fillId="10" borderId="6" xfId="0" applyNumberFormat="1" applyFont="1" applyFill="1" applyBorder="1" applyAlignment="1">
      <alignment horizontal="center" vertical="center"/>
    </xf>
    <xf numFmtId="1" fontId="25" fillId="10" borderId="4" xfId="0" applyNumberFormat="1" applyFont="1" applyFill="1" applyBorder="1" applyAlignment="1">
      <alignment horizontal="center" vertical="center"/>
    </xf>
    <xf numFmtId="0" fontId="5" fillId="10" borderId="0" xfId="0" applyFont="1" applyFill="1"/>
    <xf numFmtId="0" fontId="5" fillId="10" borderId="6" xfId="0" applyFont="1" applyFill="1" applyBorder="1"/>
    <xf numFmtId="1" fontId="5" fillId="10" borderId="6" xfId="0" applyNumberFormat="1" applyFont="1" applyFill="1" applyBorder="1"/>
    <xf numFmtId="166" fontId="5" fillId="10" borderId="6" xfId="0" applyNumberFormat="1" applyFont="1" applyFill="1" applyBorder="1"/>
    <xf numFmtId="3" fontId="5" fillId="10" borderId="6" xfId="0" applyNumberFormat="1" applyFont="1" applyFill="1" applyBorder="1"/>
    <xf numFmtId="0" fontId="5" fillId="10" borderId="0" xfId="0" applyFont="1" applyFill="1" applyAlignment="1"/>
    <xf numFmtId="1" fontId="5" fillId="10" borderId="0" xfId="0" applyNumberFormat="1" applyFont="1" applyFill="1" applyAlignment="1"/>
    <xf numFmtId="0" fontId="24" fillId="10" borderId="6" xfId="0" applyFont="1" applyFill="1" applyBorder="1" applyAlignment="1">
      <alignment horizontal="center" vertical="center"/>
    </xf>
    <xf numFmtId="0" fontId="5" fillId="10" borderId="4" xfId="0" applyFont="1" applyFill="1" applyBorder="1"/>
    <xf numFmtId="1" fontId="25" fillId="10" borderId="6" xfId="0" applyNumberFormat="1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23" fillId="6" borderId="6" xfId="0" applyNumberFormat="1" applyFont="1" applyFill="1" applyBorder="1"/>
    <xf numFmtId="167" fontId="0" fillId="0" borderId="0" xfId="0" applyNumberFormat="1"/>
    <xf numFmtId="44" fontId="0" fillId="0" borderId="0" xfId="6" applyFont="1"/>
    <xf numFmtId="166" fontId="0" fillId="0" borderId="0" xfId="0" applyNumberFormat="1"/>
    <xf numFmtId="0" fontId="5" fillId="0" borderId="6" xfId="0" applyFont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164" fontId="24" fillId="0" borderId="6" xfId="1" applyNumberFormat="1" applyFont="1" applyFill="1" applyBorder="1" applyAlignment="1">
      <alignment horizontal="center" vertical="center"/>
    </xf>
    <xf numFmtId="167" fontId="0" fillId="0" borderId="6" xfId="0" applyNumberFormat="1" applyBorder="1"/>
    <xf numFmtId="166" fontId="0" fillId="0" borderId="6" xfId="0" applyNumberFormat="1" applyBorder="1"/>
    <xf numFmtId="44" fontId="0" fillId="0" borderId="6" xfId="6" applyFont="1" applyBorder="1"/>
    <xf numFmtId="168" fontId="0" fillId="0" borderId="6" xfId="6" applyNumberFormat="1" applyFont="1" applyBorder="1"/>
    <xf numFmtId="1" fontId="0" fillId="0" borderId="6" xfId="0" applyNumberFormat="1" applyBorder="1"/>
    <xf numFmtId="0" fontId="0" fillId="5" borderId="0" xfId="0" applyFill="1"/>
    <xf numFmtId="168" fontId="0" fillId="5" borderId="6" xfId="0" applyNumberFormat="1" applyFill="1" applyBorder="1"/>
    <xf numFmtId="168" fontId="0" fillId="5" borderId="6" xfId="6" applyNumberFormat="1" applyFont="1" applyFill="1" applyBorder="1"/>
    <xf numFmtId="167" fontId="0" fillId="5" borderId="6" xfId="0" applyNumberFormat="1" applyFill="1" applyBorder="1"/>
    <xf numFmtId="44" fontId="0" fillId="5" borderId="0" xfId="6" applyFont="1" applyFill="1"/>
    <xf numFmtId="44" fontId="0" fillId="5" borderId="6" xfId="6" applyFont="1" applyFill="1" applyBorder="1"/>
    <xf numFmtId="1" fontId="0" fillId="5" borderId="6" xfId="0" applyNumberFormat="1" applyFill="1" applyBorder="1"/>
    <xf numFmtId="0" fontId="0" fillId="5" borderId="6" xfId="0" applyFill="1" applyBorder="1"/>
    <xf numFmtId="0" fontId="0" fillId="3" borderId="12" xfId="0" applyFill="1" applyBorder="1"/>
    <xf numFmtId="0" fontId="0" fillId="3" borderId="27" xfId="0" applyFill="1" applyBorder="1"/>
    <xf numFmtId="0" fontId="11" fillId="18" borderId="9" xfId="0" applyFont="1" applyFill="1" applyBorder="1"/>
    <xf numFmtId="0" fontId="0" fillId="18" borderId="10" xfId="0" applyFill="1" applyBorder="1"/>
    <xf numFmtId="0" fontId="0" fillId="18" borderId="11" xfId="0" applyFill="1" applyBorder="1"/>
    <xf numFmtId="0" fontId="0" fillId="18" borderId="12" xfId="0" applyFill="1" applyBorder="1"/>
    <xf numFmtId="0" fontId="0" fillId="18" borderId="23" xfId="0" applyFill="1" applyBorder="1"/>
    <xf numFmtId="0" fontId="0" fillId="18" borderId="27" xfId="0" applyFill="1" applyBorder="1"/>
    <xf numFmtId="0" fontId="11" fillId="0" borderId="0" xfId="0" applyFont="1" applyAlignment="1"/>
    <xf numFmtId="0" fontId="24" fillId="7" borderId="2" xfId="0" applyFont="1" applyFill="1" applyBorder="1" applyAlignment="1">
      <alignment horizontal="center" vertical="center"/>
    </xf>
    <xf numFmtId="0" fontId="23" fillId="7" borderId="0" xfId="0" applyFont="1" applyFill="1"/>
    <xf numFmtId="0" fontId="23" fillId="7" borderId="6" xfId="0" applyFont="1" applyFill="1" applyBorder="1"/>
    <xf numFmtId="1" fontId="5" fillId="7" borderId="6" xfId="0" applyNumberFormat="1" applyFont="1" applyFill="1" applyBorder="1"/>
    <xf numFmtId="166" fontId="5" fillId="7" borderId="6" xfId="0" applyNumberFormat="1" applyFont="1" applyFill="1" applyBorder="1"/>
    <xf numFmtId="1" fontId="23" fillId="7" borderId="6" xfId="0" applyNumberFormat="1" applyFont="1" applyFill="1" applyBorder="1"/>
    <xf numFmtId="3" fontId="23" fillId="7" borderId="6" xfId="0" applyNumberFormat="1" applyFont="1" applyFill="1" applyBorder="1"/>
    <xf numFmtId="0" fontId="24" fillId="7" borderId="6" xfId="0" applyFont="1" applyFill="1" applyBorder="1" applyAlignment="1">
      <alignment horizontal="center" vertical="center"/>
    </xf>
    <xf numFmtId="0" fontId="23" fillId="7" borderId="4" xfId="0" applyFont="1" applyFill="1" applyBorder="1"/>
    <xf numFmtId="166" fontId="23" fillId="7" borderId="6" xfId="0" applyNumberFormat="1" applyFont="1" applyFill="1" applyBorder="1"/>
    <xf numFmtId="0" fontId="5" fillId="7" borderId="0" xfId="0" applyFont="1" applyFill="1"/>
    <xf numFmtId="0" fontId="5" fillId="7" borderId="1" xfId="0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 vertical="center"/>
    </xf>
    <xf numFmtId="0" fontId="24" fillId="7" borderId="0" xfId="0" applyFont="1" applyFill="1" applyBorder="1" applyAlignment="1">
      <alignment horizontal="center" vertical="center"/>
    </xf>
    <xf numFmtId="164" fontId="24" fillId="7" borderId="4" xfId="1" applyNumberFormat="1" applyFont="1" applyFill="1" applyBorder="1" applyAlignment="1">
      <alignment horizontal="center" vertical="center"/>
    </xf>
    <xf numFmtId="0" fontId="23" fillId="7" borderId="6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5" fillId="7" borderId="6" xfId="0" applyFont="1" applyFill="1" applyBorder="1"/>
    <xf numFmtId="0" fontId="5" fillId="7" borderId="4" xfId="0" applyFont="1" applyFill="1" applyBorder="1"/>
    <xf numFmtId="0" fontId="5" fillId="7" borderId="9" xfId="0" applyFont="1" applyFill="1" applyBorder="1"/>
    <xf numFmtId="0" fontId="27" fillId="7" borderId="22" xfId="0" applyFont="1" applyFill="1" applyBorder="1" applyAlignment="1">
      <alignment horizontal="right"/>
    </xf>
    <xf numFmtId="0" fontId="27" fillId="7" borderId="12" xfId="0" applyFont="1" applyFill="1" applyBorder="1" applyAlignment="1">
      <alignment horizontal="right"/>
    </xf>
    <xf numFmtId="3" fontId="5" fillId="7" borderId="6" xfId="0" applyNumberFormat="1" applyFont="1" applyFill="1" applyBorder="1"/>
    <xf numFmtId="0" fontId="4" fillId="7" borderId="2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0" fillId="7" borderId="4" xfId="0" applyFill="1" applyBorder="1"/>
    <xf numFmtId="1" fontId="0" fillId="7" borderId="6" xfId="0" applyNumberFormat="1" applyFill="1" applyBorder="1"/>
    <xf numFmtId="166" fontId="0" fillId="7" borderId="6" xfId="0" applyNumberFormat="1" applyFill="1" applyBorder="1"/>
    <xf numFmtId="3" fontId="0" fillId="7" borderId="6" xfId="0" applyNumberFormat="1" applyFill="1" applyBorder="1"/>
    <xf numFmtId="0" fontId="0" fillId="3" borderId="22" xfId="0" applyFill="1" applyBorder="1"/>
    <xf numFmtId="0" fontId="0" fillId="3" borderId="28" xfId="0" applyFill="1" applyBorder="1"/>
    <xf numFmtId="0" fontId="3" fillId="3" borderId="22" xfId="0" applyFont="1" applyFill="1" applyBorder="1"/>
    <xf numFmtId="0" fontId="3" fillId="3" borderId="28" xfId="0" applyFont="1" applyFill="1" applyBorder="1"/>
    <xf numFmtId="0" fontId="0" fillId="18" borderId="9" xfId="0" applyFill="1" applyBorder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164" fontId="4" fillId="7" borderId="4" xfId="1" applyNumberFormat="1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3" fillId="7" borderId="22" xfId="0" applyFont="1" applyFill="1" applyBorder="1" applyAlignment="1">
      <alignment horizontal="right"/>
    </xf>
    <xf numFmtId="0" fontId="13" fillId="7" borderId="12" xfId="0" applyFont="1" applyFill="1" applyBorder="1" applyAlignment="1">
      <alignment horizontal="right"/>
    </xf>
    <xf numFmtId="167" fontId="0" fillId="0" borderId="6" xfId="0" applyNumberFormat="1" applyBorder="1" applyAlignment="1">
      <alignment wrapText="1"/>
    </xf>
    <xf numFmtId="0" fontId="5" fillId="7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15" borderId="6" xfId="0" applyFill="1" applyBorder="1"/>
    <xf numFmtId="0" fontId="0" fillId="15" borderId="0" xfId="0" applyFill="1"/>
    <xf numFmtId="167" fontId="0" fillId="0" borderId="6" xfId="0" applyNumberForma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 wrapText="1"/>
    </xf>
    <xf numFmtId="0" fontId="0" fillId="4" borderId="0" xfId="0" applyFont="1" applyFill="1" applyAlignment="1"/>
    <xf numFmtId="1" fontId="2" fillId="4" borderId="0" xfId="0" applyNumberFormat="1" applyFont="1" applyFill="1" applyAlignment="1"/>
    <xf numFmtId="0" fontId="0" fillId="4" borderId="0" xfId="0" applyFill="1" applyAlignment="1">
      <alignment horizontal="center" vertical="center"/>
    </xf>
    <xf numFmtId="0" fontId="0" fillId="4" borderId="0" xfId="0" applyFill="1" applyAlignment="1"/>
    <xf numFmtId="0" fontId="3" fillId="0" borderId="0" xfId="0" applyFont="1" applyFill="1" applyAlignment="1">
      <alignment horizontal="center"/>
    </xf>
    <xf numFmtId="0" fontId="0" fillId="0" borderId="0" xfId="0" applyFont="1" applyFill="1" applyAlignment="1"/>
    <xf numFmtId="164" fontId="3" fillId="0" borderId="0" xfId="1" applyNumberFormat="1" applyFont="1" applyFill="1" applyAlignment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9" fontId="0" fillId="0" borderId="0" xfId="2" applyFont="1" applyFill="1" applyAlignment="1">
      <alignment horizontal="center" vertical="center"/>
    </xf>
    <xf numFmtId="1" fontId="2" fillId="0" borderId="0" xfId="0" applyNumberFormat="1" applyFont="1" applyFill="1" applyAlignment="1"/>
    <xf numFmtId="164" fontId="2" fillId="0" borderId="0" xfId="1" applyNumberFormat="1" applyFont="1" applyFill="1" applyAlignment="1"/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/>
    <xf numFmtId="1" fontId="2" fillId="0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3" fillId="4" borderId="0" xfId="0" applyFont="1" applyFill="1" applyAlignment="1"/>
    <xf numFmtId="0" fontId="3" fillId="0" borderId="0" xfId="0" applyFont="1" applyFill="1" applyAlignment="1"/>
    <xf numFmtId="0" fontId="16" fillId="6" borderId="16" xfId="7" applyFont="1" applyFill="1" applyBorder="1" applyAlignment="1">
      <alignment horizontal="center"/>
    </xf>
    <xf numFmtId="0" fontId="16" fillId="6" borderId="17" xfId="7" applyFont="1" applyFill="1" applyBorder="1" applyAlignment="1">
      <alignment horizontal="center"/>
    </xf>
    <xf numFmtId="0" fontId="16" fillId="6" borderId="6" xfId="7" applyFont="1" applyFill="1" applyBorder="1" applyAlignment="1">
      <alignment horizontal="center" vertical="center"/>
    </xf>
    <xf numFmtId="0" fontId="16" fillId="6" borderId="19" xfId="7" applyFont="1" applyFill="1" applyBorder="1" applyAlignment="1">
      <alignment horizontal="center" vertical="center"/>
    </xf>
    <xf numFmtId="0" fontId="16" fillId="6" borderId="6" xfId="7" applyFont="1" applyFill="1" applyBorder="1" applyAlignment="1">
      <alignment horizontal="center"/>
    </xf>
    <xf numFmtId="0" fontId="16" fillId="6" borderId="19" xfId="7" applyFont="1" applyFill="1" applyBorder="1" applyAlignment="1">
      <alignment horizontal="center"/>
    </xf>
    <xf numFmtId="0" fontId="14" fillId="9" borderId="0" xfId="7" applyFill="1" applyAlignment="1">
      <alignment horizontal="center"/>
    </xf>
    <xf numFmtId="0" fontId="18" fillId="10" borderId="0" xfId="7" applyFont="1" applyFill="1" applyAlignment="1">
      <alignment horizontal="center" vertical="center"/>
    </xf>
    <xf numFmtId="0" fontId="14" fillId="9" borderId="0" xfId="7" applyFill="1" applyAlignment="1">
      <alignment horizontal="center" wrapText="1"/>
    </xf>
    <xf numFmtId="0" fontId="21" fillId="6" borderId="0" xfId="7" applyFont="1" applyFill="1" applyAlignment="1">
      <alignment horizontal="center" vertical="center"/>
    </xf>
    <xf numFmtId="0" fontId="14" fillId="6" borderId="0" xfId="7" applyFill="1" applyAlignment="1">
      <alignment horizontal="center" vertical="center"/>
    </xf>
    <xf numFmtId="0" fontId="14" fillId="7" borderId="0" xfId="7" applyFill="1" applyAlignment="1">
      <alignment horizontal="center"/>
    </xf>
    <xf numFmtId="0" fontId="14" fillId="15" borderId="0" xfId="7" applyFill="1" applyAlignment="1">
      <alignment horizontal="center"/>
    </xf>
    <xf numFmtId="0" fontId="14" fillId="0" borderId="0" xfId="7" applyAlignment="1">
      <alignment horizontal="center"/>
    </xf>
    <xf numFmtId="0" fontId="14" fillId="10" borderId="0" xfId="7" applyFill="1" applyAlignment="1">
      <alignment horizontal="center" vertical="center" wrapText="1"/>
    </xf>
    <xf numFmtId="0" fontId="14" fillId="10" borderId="0" xfId="7" applyFill="1" applyAlignment="1">
      <alignment horizontal="center" vertical="center"/>
    </xf>
    <xf numFmtId="0" fontId="0" fillId="5" borderId="6" xfId="0" applyFill="1" applyBorder="1" applyAlignment="1">
      <alignment horizontal="center"/>
    </xf>
    <xf numFmtId="0" fontId="0" fillId="5" borderId="6" xfId="0" applyFill="1" applyBorder="1" applyAlignment="1">
      <alignment horizontal="center" wrapText="1"/>
    </xf>
    <xf numFmtId="0" fontId="3" fillId="16" borderId="0" xfId="0" applyFont="1" applyFill="1" applyBorder="1" applyAlignment="1">
      <alignment horizontal="center"/>
    </xf>
    <xf numFmtId="0" fontId="3" fillId="16" borderId="0" xfId="0" applyFont="1" applyFill="1" applyBorder="1" applyAlignment="1">
      <alignment horizontal="center" wrapText="1"/>
    </xf>
    <xf numFmtId="0" fontId="3" fillId="9" borderId="0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</cellXfs>
  <cellStyles count="8">
    <cellStyle name="CellNormal" xfId="5" xr:uid="{00000000-0005-0000-0000-000000000000}"/>
    <cellStyle name="CellUACode" xfId="4" xr:uid="{00000000-0005-0000-0000-000001000000}"/>
    <cellStyle name="Comma" xfId="1" builtinId="3"/>
    <cellStyle name="Currency" xfId="6" builtinId="4"/>
    <cellStyle name="Normal" xfId="0" builtinId="0"/>
    <cellStyle name="Normal 2" xfId="7" xr:uid="{00000000-0005-0000-0000-000005000000}"/>
    <cellStyle name="Normal_CT Property Attributes V2" xfId="3" xr:uid="{00000000-0005-0000-0000-000006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'carbon emissions saved'!$A$7</c:f>
              <c:strCache>
                <c:ptCount val="1"/>
                <c:pt idx="0">
                  <c:v>Scenario 1: 80%  reductions over building regulations  post 2025 with  offset fund for remaining regulated emissions.</c:v>
                </c:pt>
              </c:strCache>
            </c:strRef>
          </c:tx>
          <c:marker>
            <c:symbol val="none"/>
          </c:marker>
          <c:cat>
            <c:strRef>
              <c:f>'carbon emissions saved'!$B$2:$N$2</c:f>
              <c:strCache>
                <c:ptCount val="13"/>
                <c:pt idx="0">
                  <c:v>25/26</c:v>
                </c:pt>
                <c:pt idx="1">
                  <c:v>26/27</c:v>
                </c:pt>
                <c:pt idx="2">
                  <c:v>27/28</c:v>
                </c:pt>
                <c:pt idx="3">
                  <c:v>28/29</c:v>
                </c:pt>
                <c:pt idx="4">
                  <c:v>29/30</c:v>
                </c:pt>
                <c:pt idx="5">
                  <c:v>30/31</c:v>
                </c:pt>
                <c:pt idx="6">
                  <c:v>31/32</c:v>
                </c:pt>
                <c:pt idx="7">
                  <c:v>32/33</c:v>
                </c:pt>
                <c:pt idx="8">
                  <c:v>33/34</c:v>
                </c:pt>
                <c:pt idx="9">
                  <c:v>34/35</c:v>
                </c:pt>
                <c:pt idx="10">
                  <c:v>35/36</c:v>
                </c:pt>
                <c:pt idx="11">
                  <c:v>36/37</c:v>
                </c:pt>
                <c:pt idx="12">
                  <c:v>37/38</c:v>
                </c:pt>
              </c:strCache>
            </c:strRef>
          </c:cat>
          <c:val>
            <c:numRef>
              <c:f>'carbon emissions saved'!$B$7:$N$7</c:f>
              <c:numCache>
                <c:formatCode>0</c:formatCode>
                <c:ptCount val="13"/>
                <c:pt idx="0">
                  <c:v>82209.425352853184</c:v>
                </c:pt>
                <c:pt idx="1">
                  <c:v>164418.85070570637</c:v>
                </c:pt>
                <c:pt idx="2">
                  <c:v>246628.27605855954</c:v>
                </c:pt>
                <c:pt idx="3">
                  <c:v>328837.70141141274</c:v>
                </c:pt>
                <c:pt idx="4">
                  <c:v>411047.12676426594</c:v>
                </c:pt>
                <c:pt idx="5">
                  <c:v>492277.09618205205</c:v>
                </c:pt>
                <c:pt idx="6">
                  <c:v>573507.06559983816</c:v>
                </c:pt>
                <c:pt idx="7">
                  <c:v>654737.03501762426</c:v>
                </c:pt>
                <c:pt idx="8">
                  <c:v>735967.00443541037</c:v>
                </c:pt>
                <c:pt idx="9">
                  <c:v>817196.97385319648</c:v>
                </c:pt>
                <c:pt idx="10">
                  <c:v>898426.94327098259</c:v>
                </c:pt>
                <c:pt idx="11">
                  <c:v>979656.9126887687</c:v>
                </c:pt>
                <c:pt idx="12">
                  <c:v>1060886.8821065547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39-4315-867C-9905BDE414B5}"/>
            </c:ext>
          </c:extLst>
        </c:ser>
        <c:ser>
          <c:idx val="1"/>
          <c:order val="1"/>
          <c:tx>
            <c:strRef>
              <c:f>'carbon emissions saved'!$A$13</c:f>
              <c:strCache>
                <c:ptCount val="1"/>
                <c:pt idx="0">
                  <c:v>Scenario 2: 80%  reductions over building regulations post 2025 with offset fund  for  remaining regulated and unregulated emissions.</c:v>
                </c:pt>
              </c:strCache>
            </c:strRef>
          </c:tx>
          <c:marker>
            <c:symbol val="none"/>
          </c:marker>
          <c:cat>
            <c:strRef>
              <c:f>'carbon emissions saved'!$B$2:$N$2</c:f>
              <c:strCache>
                <c:ptCount val="13"/>
                <c:pt idx="0">
                  <c:v>25/26</c:v>
                </c:pt>
                <c:pt idx="1">
                  <c:v>26/27</c:v>
                </c:pt>
                <c:pt idx="2">
                  <c:v>27/28</c:v>
                </c:pt>
                <c:pt idx="3">
                  <c:v>28/29</c:v>
                </c:pt>
                <c:pt idx="4">
                  <c:v>29/30</c:v>
                </c:pt>
                <c:pt idx="5">
                  <c:v>30/31</c:v>
                </c:pt>
                <c:pt idx="6">
                  <c:v>31/32</c:v>
                </c:pt>
                <c:pt idx="7">
                  <c:v>32/33</c:v>
                </c:pt>
                <c:pt idx="8">
                  <c:v>33/34</c:v>
                </c:pt>
                <c:pt idx="9">
                  <c:v>34/35</c:v>
                </c:pt>
                <c:pt idx="10">
                  <c:v>35/36</c:v>
                </c:pt>
                <c:pt idx="11">
                  <c:v>36/37</c:v>
                </c:pt>
                <c:pt idx="12">
                  <c:v>37/38</c:v>
                </c:pt>
              </c:strCache>
            </c:strRef>
          </c:cat>
          <c:val>
            <c:numRef>
              <c:f>'carbon emissions saved'!$B$13:$N$13</c:f>
              <c:numCache>
                <c:formatCode>0</c:formatCode>
                <c:ptCount val="13"/>
                <c:pt idx="0">
                  <c:v>215973.38083043648</c:v>
                </c:pt>
                <c:pt idx="1">
                  <c:v>431946.76166087296</c:v>
                </c:pt>
                <c:pt idx="2">
                  <c:v>647920.14249130944</c:v>
                </c:pt>
                <c:pt idx="3">
                  <c:v>863893.52332174592</c:v>
                </c:pt>
                <c:pt idx="4">
                  <c:v>1079866.9041521824</c:v>
                </c:pt>
                <c:pt idx="5">
                  <c:v>1257406.9215138284</c:v>
                </c:pt>
                <c:pt idx="6">
                  <c:v>1434946.9388754745</c:v>
                </c:pt>
                <c:pt idx="7">
                  <c:v>1612486.9562371206</c:v>
                </c:pt>
                <c:pt idx="8">
                  <c:v>1790026.9735987666</c:v>
                </c:pt>
                <c:pt idx="9">
                  <c:v>1967566.9909604127</c:v>
                </c:pt>
                <c:pt idx="10">
                  <c:v>2145107.0083220587</c:v>
                </c:pt>
                <c:pt idx="11">
                  <c:v>2322647.0256837048</c:v>
                </c:pt>
                <c:pt idx="12">
                  <c:v>2500187.0430453508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39-4315-867C-9905BDE414B5}"/>
            </c:ext>
          </c:extLst>
        </c:ser>
        <c:ser>
          <c:idx val="2"/>
          <c:order val="2"/>
          <c:tx>
            <c:strRef>
              <c:f>'carbon emissions saved'!$A$20</c:f>
              <c:strCache>
                <c:ptCount val="1"/>
                <c:pt idx="0">
                  <c:v>Scenario 3: 80% reductions over building regulations post 2028 with offset fund for remaining regulated emissions.
</c:v>
                </c:pt>
              </c:strCache>
            </c:strRef>
          </c:tx>
          <c:marker>
            <c:symbol val="none"/>
          </c:marker>
          <c:cat>
            <c:strRef>
              <c:f>'carbon emissions saved'!$B$2:$N$2</c:f>
              <c:strCache>
                <c:ptCount val="13"/>
                <c:pt idx="0">
                  <c:v>25/26</c:v>
                </c:pt>
                <c:pt idx="1">
                  <c:v>26/27</c:v>
                </c:pt>
                <c:pt idx="2">
                  <c:v>27/28</c:v>
                </c:pt>
                <c:pt idx="3">
                  <c:v>28/29</c:v>
                </c:pt>
                <c:pt idx="4">
                  <c:v>29/30</c:v>
                </c:pt>
                <c:pt idx="5">
                  <c:v>30/31</c:v>
                </c:pt>
                <c:pt idx="6">
                  <c:v>31/32</c:v>
                </c:pt>
                <c:pt idx="7">
                  <c:v>32/33</c:v>
                </c:pt>
                <c:pt idx="8">
                  <c:v>33/34</c:v>
                </c:pt>
                <c:pt idx="9">
                  <c:v>34/35</c:v>
                </c:pt>
                <c:pt idx="10">
                  <c:v>35/36</c:v>
                </c:pt>
                <c:pt idx="11">
                  <c:v>36/37</c:v>
                </c:pt>
                <c:pt idx="12">
                  <c:v>37/38</c:v>
                </c:pt>
              </c:strCache>
            </c:strRef>
          </c:cat>
          <c:val>
            <c:numRef>
              <c:f>'carbon emissions saved'!$B$20:$N$20</c:f>
              <c:numCache>
                <c:formatCode>0</c:formatCode>
                <c:ptCount val="13"/>
                <c:pt idx="3">
                  <c:v>82209.425352853184</c:v>
                </c:pt>
                <c:pt idx="4">
                  <c:v>164418.85070570637</c:v>
                </c:pt>
                <c:pt idx="5">
                  <c:v>245648.82012349248</c:v>
                </c:pt>
                <c:pt idx="6">
                  <c:v>326878.78954127862</c:v>
                </c:pt>
                <c:pt idx="7">
                  <c:v>408108.75895906473</c:v>
                </c:pt>
                <c:pt idx="8">
                  <c:v>489338.72837685084</c:v>
                </c:pt>
                <c:pt idx="9">
                  <c:v>570568.69779463694</c:v>
                </c:pt>
                <c:pt idx="10">
                  <c:v>651798.66721242305</c:v>
                </c:pt>
                <c:pt idx="11">
                  <c:v>733028.63663020916</c:v>
                </c:pt>
                <c:pt idx="12">
                  <c:v>814258.60604799527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39-4315-867C-9905BDE414B5}"/>
            </c:ext>
          </c:extLst>
        </c:ser>
        <c:ser>
          <c:idx val="3"/>
          <c:order val="3"/>
          <c:tx>
            <c:strRef>
              <c:f>'carbon emissions saved'!$A$26</c:f>
              <c:strCache>
                <c:ptCount val="1"/>
                <c:pt idx="0">
                  <c:v>Scenario 4: 80% reductions over building regulations post 2028 with offset fund for  remaining regulated and unregulated emissions.</c:v>
                </c:pt>
              </c:strCache>
            </c:strRef>
          </c:tx>
          <c:marker>
            <c:symbol val="none"/>
          </c:marker>
          <c:cat>
            <c:strRef>
              <c:f>'carbon emissions saved'!$B$2:$N$2</c:f>
              <c:strCache>
                <c:ptCount val="13"/>
                <c:pt idx="0">
                  <c:v>25/26</c:v>
                </c:pt>
                <c:pt idx="1">
                  <c:v>26/27</c:v>
                </c:pt>
                <c:pt idx="2">
                  <c:v>27/28</c:v>
                </c:pt>
                <c:pt idx="3">
                  <c:v>28/29</c:v>
                </c:pt>
                <c:pt idx="4">
                  <c:v>29/30</c:v>
                </c:pt>
                <c:pt idx="5">
                  <c:v>30/31</c:v>
                </c:pt>
                <c:pt idx="6">
                  <c:v>31/32</c:v>
                </c:pt>
                <c:pt idx="7">
                  <c:v>32/33</c:v>
                </c:pt>
                <c:pt idx="8">
                  <c:v>33/34</c:v>
                </c:pt>
                <c:pt idx="9">
                  <c:v>34/35</c:v>
                </c:pt>
                <c:pt idx="10">
                  <c:v>35/36</c:v>
                </c:pt>
                <c:pt idx="11">
                  <c:v>36/37</c:v>
                </c:pt>
                <c:pt idx="12">
                  <c:v>37/38</c:v>
                </c:pt>
              </c:strCache>
            </c:strRef>
          </c:cat>
          <c:val>
            <c:numRef>
              <c:f>'carbon emissions saved'!$B$26:$N$26</c:f>
              <c:numCache>
                <c:formatCode>0</c:formatCode>
                <c:ptCount val="13"/>
                <c:pt idx="3">
                  <c:v>215973.38083043648</c:v>
                </c:pt>
                <c:pt idx="4">
                  <c:v>431946.76166087296</c:v>
                </c:pt>
                <c:pt idx="5">
                  <c:v>609486.77902251901</c:v>
                </c:pt>
                <c:pt idx="6">
                  <c:v>787026.79638416506</c:v>
                </c:pt>
                <c:pt idx="7">
                  <c:v>964566.81374581112</c:v>
                </c:pt>
                <c:pt idx="8">
                  <c:v>1142106.8311074572</c:v>
                </c:pt>
                <c:pt idx="9">
                  <c:v>1319646.8484691032</c:v>
                </c:pt>
                <c:pt idx="10">
                  <c:v>1497186.8658307493</c:v>
                </c:pt>
                <c:pt idx="11">
                  <c:v>1674726.8831923953</c:v>
                </c:pt>
                <c:pt idx="12">
                  <c:v>1852266.9005540414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39-4315-867C-9905BDE41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207232"/>
        <c:axId val="142463360"/>
      </c:lineChart>
      <c:catAx>
        <c:axId val="14220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42463360"/>
        <c:crosses val="autoZero"/>
        <c:auto val="1"/>
        <c:lblAlgn val="ctr"/>
        <c:lblOffset val="100"/>
        <c:noMultiLvlLbl val="0"/>
      </c:catAx>
      <c:valAx>
        <c:axId val="142463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tonnes</a:t>
                </a:r>
                <a:r>
                  <a:rPr lang="en-GB" baseline="0"/>
                  <a:t> of carbon</a:t>
                </a:r>
                <a:endParaRPr lang="en-GB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42207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'total fundsize'!$A$11</c:f>
              <c:strCache>
                <c:ptCount val="1"/>
                <c:pt idx="0">
                  <c:v>Scenario 1: 80%  reductions over building regulations  post 2025 with  offset fund for remaining regulated emissions.</c:v>
                </c:pt>
              </c:strCache>
            </c:strRef>
          </c:tx>
          <c:marker>
            <c:symbol val="none"/>
          </c:marker>
          <c:cat>
            <c:strRef>
              <c:f>'total fundsize'!$B$2:$N$2</c:f>
              <c:strCache>
                <c:ptCount val="13"/>
                <c:pt idx="0">
                  <c:v>25/26</c:v>
                </c:pt>
                <c:pt idx="1">
                  <c:v>26/27</c:v>
                </c:pt>
                <c:pt idx="2">
                  <c:v>27/28</c:v>
                </c:pt>
                <c:pt idx="3">
                  <c:v>28/29</c:v>
                </c:pt>
                <c:pt idx="4">
                  <c:v>29/30</c:v>
                </c:pt>
                <c:pt idx="5">
                  <c:v>30/31</c:v>
                </c:pt>
                <c:pt idx="6">
                  <c:v>31/32</c:v>
                </c:pt>
                <c:pt idx="7">
                  <c:v>32/33</c:v>
                </c:pt>
                <c:pt idx="8">
                  <c:v>33/34</c:v>
                </c:pt>
                <c:pt idx="9">
                  <c:v>34/35</c:v>
                </c:pt>
                <c:pt idx="10">
                  <c:v>35/36</c:v>
                </c:pt>
                <c:pt idx="11">
                  <c:v>36/37</c:v>
                </c:pt>
                <c:pt idx="12">
                  <c:v>37/38</c:v>
                </c:pt>
              </c:strCache>
            </c:strRef>
          </c:cat>
          <c:val>
            <c:numRef>
              <c:f>'total fundsize'!$B$11:$N$11</c:f>
              <c:numCache>
                <c:formatCode>_-"£"* #,##0_-;\-"£"* #,##0_-;_-"£"* "-"??_-;_-@_-</c:formatCode>
                <c:ptCount val="13"/>
                <c:pt idx="0">
                  <c:v>16441885.070570637</c:v>
                </c:pt>
                <c:pt idx="1">
                  <c:v>32883770.141141273</c:v>
                </c:pt>
                <c:pt idx="2">
                  <c:v>49325655.211711913</c:v>
                </c:pt>
                <c:pt idx="3">
                  <c:v>65767540.282282546</c:v>
                </c:pt>
                <c:pt idx="4">
                  <c:v>82209425.352853179</c:v>
                </c:pt>
                <c:pt idx="5">
                  <c:v>98455419.236410409</c:v>
                </c:pt>
                <c:pt idx="6">
                  <c:v>114701413.11996764</c:v>
                </c:pt>
                <c:pt idx="7">
                  <c:v>130947407.00352487</c:v>
                </c:pt>
                <c:pt idx="8">
                  <c:v>147193400.8870821</c:v>
                </c:pt>
                <c:pt idx="9">
                  <c:v>163439394.77063933</c:v>
                </c:pt>
                <c:pt idx="10">
                  <c:v>179685388.65419656</c:v>
                </c:pt>
                <c:pt idx="11">
                  <c:v>195931382.53775379</c:v>
                </c:pt>
                <c:pt idx="12">
                  <c:v>212177376.42131102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D4-4C79-B098-1E011ADAFD18}"/>
            </c:ext>
          </c:extLst>
        </c:ser>
        <c:ser>
          <c:idx val="2"/>
          <c:order val="1"/>
          <c:tx>
            <c:strRef>
              <c:f>'total fundsize'!$A$16</c:f>
              <c:strCache>
                <c:ptCount val="1"/>
                <c:pt idx="0">
                  <c:v>Scenario 2: 80%  reductions over building regulations post 2025 with offset fund  for  remaining regulated and unregulated emissions.</c:v>
                </c:pt>
              </c:strCache>
            </c:strRef>
          </c:tx>
          <c:marker>
            <c:symbol val="none"/>
          </c:marker>
          <c:cat>
            <c:strRef>
              <c:f>'total fundsize'!$B$2:$N$2</c:f>
              <c:strCache>
                <c:ptCount val="13"/>
                <c:pt idx="0">
                  <c:v>25/26</c:v>
                </c:pt>
                <c:pt idx="1">
                  <c:v>26/27</c:v>
                </c:pt>
                <c:pt idx="2">
                  <c:v>27/28</c:v>
                </c:pt>
                <c:pt idx="3">
                  <c:v>28/29</c:v>
                </c:pt>
                <c:pt idx="4">
                  <c:v>29/30</c:v>
                </c:pt>
                <c:pt idx="5">
                  <c:v>30/31</c:v>
                </c:pt>
                <c:pt idx="6">
                  <c:v>31/32</c:v>
                </c:pt>
                <c:pt idx="7">
                  <c:v>32/33</c:v>
                </c:pt>
                <c:pt idx="8">
                  <c:v>33/34</c:v>
                </c:pt>
                <c:pt idx="9">
                  <c:v>34/35</c:v>
                </c:pt>
                <c:pt idx="10">
                  <c:v>35/36</c:v>
                </c:pt>
                <c:pt idx="11">
                  <c:v>36/37</c:v>
                </c:pt>
                <c:pt idx="12">
                  <c:v>37/38</c:v>
                </c:pt>
              </c:strCache>
            </c:strRef>
          </c:cat>
          <c:val>
            <c:numRef>
              <c:f>'total fundsize'!$B$16:$N$16</c:f>
              <c:numCache>
                <c:formatCode>_-"£"* #,##0_-;\-"£"* #,##0_-;_-"£"* "-"??_-;_-@_-</c:formatCode>
                <c:ptCount val="13"/>
                <c:pt idx="0">
                  <c:v>43194676.1660873</c:v>
                </c:pt>
                <c:pt idx="1">
                  <c:v>86389352.332174599</c:v>
                </c:pt>
                <c:pt idx="2">
                  <c:v>129584028.4982619</c:v>
                </c:pt>
                <c:pt idx="3">
                  <c:v>172778704.6643492</c:v>
                </c:pt>
                <c:pt idx="4">
                  <c:v>215973380.8304365</c:v>
                </c:pt>
                <c:pt idx="5">
                  <c:v>251481384.30276573</c:v>
                </c:pt>
                <c:pt idx="6">
                  <c:v>286989387.77509493</c:v>
                </c:pt>
                <c:pt idx="7">
                  <c:v>322497391.24742413</c:v>
                </c:pt>
                <c:pt idx="8">
                  <c:v>358005394.71975332</c:v>
                </c:pt>
                <c:pt idx="9">
                  <c:v>393513398.19208252</c:v>
                </c:pt>
                <c:pt idx="10">
                  <c:v>429021401.66441172</c:v>
                </c:pt>
                <c:pt idx="11">
                  <c:v>464529405.13674092</c:v>
                </c:pt>
                <c:pt idx="12">
                  <c:v>500037408.60907012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D4-4C79-B098-1E011ADAFD18}"/>
            </c:ext>
          </c:extLst>
        </c:ser>
        <c:ser>
          <c:idx val="4"/>
          <c:order val="2"/>
          <c:tx>
            <c:strRef>
              <c:f>'total fundsize'!$A$21</c:f>
              <c:strCache>
                <c:ptCount val="1"/>
                <c:pt idx="0">
                  <c:v>Scenario 3: 80% reductions over building regulations post 2028 with offset fund for remaining regulated emissions.
</c:v>
                </c:pt>
              </c:strCache>
            </c:strRef>
          </c:tx>
          <c:marker>
            <c:symbol val="none"/>
          </c:marker>
          <c:cat>
            <c:strRef>
              <c:f>'total fundsize'!$B$2:$N$2</c:f>
              <c:strCache>
                <c:ptCount val="13"/>
                <c:pt idx="0">
                  <c:v>25/26</c:v>
                </c:pt>
                <c:pt idx="1">
                  <c:v>26/27</c:v>
                </c:pt>
                <c:pt idx="2">
                  <c:v>27/28</c:v>
                </c:pt>
                <c:pt idx="3">
                  <c:v>28/29</c:v>
                </c:pt>
                <c:pt idx="4">
                  <c:v>29/30</c:v>
                </c:pt>
                <c:pt idx="5">
                  <c:v>30/31</c:v>
                </c:pt>
                <c:pt idx="6">
                  <c:v>31/32</c:v>
                </c:pt>
                <c:pt idx="7">
                  <c:v>32/33</c:v>
                </c:pt>
                <c:pt idx="8">
                  <c:v>33/34</c:v>
                </c:pt>
                <c:pt idx="9">
                  <c:v>34/35</c:v>
                </c:pt>
                <c:pt idx="10">
                  <c:v>35/36</c:v>
                </c:pt>
                <c:pt idx="11">
                  <c:v>36/37</c:v>
                </c:pt>
                <c:pt idx="12">
                  <c:v>37/38</c:v>
                </c:pt>
              </c:strCache>
            </c:strRef>
          </c:cat>
          <c:val>
            <c:numRef>
              <c:f>'total fundsize'!$B$21:$N$21</c:f>
              <c:numCache>
                <c:formatCode>_-"£"* #,##0_-;\-"£"* #,##0_-;_-"£"* "-"??_-;_-@_-</c:formatCode>
                <c:ptCount val="13"/>
                <c:pt idx="3">
                  <c:v>19237005.532567646</c:v>
                </c:pt>
                <c:pt idx="4">
                  <c:v>38531928.037922487</c:v>
                </c:pt>
                <c:pt idx="5">
                  <c:v>57597237.972395971</c:v>
                </c:pt>
                <c:pt idx="6">
                  <c:v>76662547.906869456</c:v>
                </c:pt>
                <c:pt idx="7">
                  <c:v>95727857.841342941</c:v>
                </c:pt>
                <c:pt idx="8">
                  <c:v>114793167.77581643</c:v>
                </c:pt>
                <c:pt idx="9">
                  <c:v>133858477.71028991</c:v>
                </c:pt>
                <c:pt idx="10">
                  <c:v>152923787.64476338</c:v>
                </c:pt>
                <c:pt idx="11">
                  <c:v>171989097.57923687</c:v>
                </c:pt>
                <c:pt idx="12">
                  <c:v>191054407.51371035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D4-4C79-B098-1E011ADAFD18}"/>
            </c:ext>
          </c:extLst>
        </c:ser>
        <c:ser>
          <c:idx val="5"/>
          <c:order val="3"/>
          <c:tx>
            <c:strRef>
              <c:f>'total fundsize'!$A$26</c:f>
              <c:strCache>
                <c:ptCount val="1"/>
                <c:pt idx="0">
                  <c:v>Scenario 4: 80% reductions over building regulations post 2028 with offset fund for  remaining regulated and unregulated emissions.</c:v>
                </c:pt>
              </c:strCache>
            </c:strRef>
          </c:tx>
          <c:marker>
            <c:symbol val="none"/>
          </c:marker>
          <c:cat>
            <c:strRef>
              <c:f>'total fundsize'!$B$2:$N$2</c:f>
              <c:strCache>
                <c:ptCount val="13"/>
                <c:pt idx="0">
                  <c:v>25/26</c:v>
                </c:pt>
                <c:pt idx="1">
                  <c:v>26/27</c:v>
                </c:pt>
                <c:pt idx="2">
                  <c:v>27/28</c:v>
                </c:pt>
                <c:pt idx="3">
                  <c:v>28/29</c:v>
                </c:pt>
                <c:pt idx="4">
                  <c:v>29/30</c:v>
                </c:pt>
                <c:pt idx="5">
                  <c:v>30/31</c:v>
                </c:pt>
                <c:pt idx="6">
                  <c:v>31/32</c:v>
                </c:pt>
                <c:pt idx="7">
                  <c:v>32/33</c:v>
                </c:pt>
                <c:pt idx="8">
                  <c:v>33/34</c:v>
                </c:pt>
                <c:pt idx="9">
                  <c:v>34/35</c:v>
                </c:pt>
                <c:pt idx="10">
                  <c:v>35/36</c:v>
                </c:pt>
                <c:pt idx="11">
                  <c:v>36/37</c:v>
                </c:pt>
                <c:pt idx="12">
                  <c:v>37/38</c:v>
                </c:pt>
              </c:strCache>
            </c:strRef>
          </c:cat>
          <c:val>
            <c:numRef>
              <c:f>'total fundsize'!$B$26:$N$26</c:f>
              <c:numCache>
                <c:formatCode>_-"£"* #,##0_-;\-"£"* #,##0_-;_-"£"* "-"??_-;_-@_-</c:formatCode>
                <c:ptCount val="13"/>
                <c:pt idx="3" formatCode="_(&quot;£&quot;* #,##0.00_);_(&quot;£&quot;* \(#,##0.00\);_(&quot;£&quot;* &quot;-&quot;??_);_(@_)">
                  <c:v>50537771.114322133</c:v>
                </c:pt>
                <c:pt idx="4">
                  <c:v>101192310.96132697</c:v>
                </c:pt>
                <c:pt idx="5">
                  <c:v>142836545.38178846</c:v>
                </c:pt>
                <c:pt idx="6">
                  <c:v>184480779.80224994</c:v>
                </c:pt>
                <c:pt idx="7">
                  <c:v>226125014.22271141</c:v>
                </c:pt>
                <c:pt idx="8">
                  <c:v>267769248.64317289</c:v>
                </c:pt>
                <c:pt idx="9">
                  <c:v>309413483.0636344</c:v>
                </c:pt>
                <c:pt idx="10">
                  <c:v>351057717.48409587</c:v>
                </c:pt>
                <c:pt idx="11">
                  <c:v>392701951.90455735</c:v>
                </c:pt>
                <c:pt idx="12">
                  <c:v>434346186.32501882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D4-4C79-B098-1E011ADAF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268864"/>
        <c:axId val="143271040"/>
      </c:lineChart>
      <c:catAx>
        <c:axId val="143268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43271040"/>
        <c:crosses val="autoZero"/>
        <c:auto val="1"/>
        <c:lblAlgn val="ctr"/>
        <c:lblOffset val="100"/>
        <c:noMultiLvlLbl val="0"/>
      </c:catAx>
      <c:valAx>
        <c:axId val="143271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Fund</a:t>
                </a:r>
                <a:r>
                  <a:rPr lang="en-US" baseline="0"/>
                  <a:t> Size</a:t>
                </a:r>
                <a:endParaRPr lang="en-US"/>
              </a:p>
            </c:rich>
          </c:tx>
          <c:overlay val="0"/>
        </c:title>
        <c:numFmt formatCode="&quot;£&quot;#,##0" sourceLinked="0"/>
        <c:majorTickMark val="out"/>
        <c:minorTickMark val="none"/>
        <c:tickLblPos val="nextTo"/>
        <c:crossAx val="143268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906310906565102"/>
          <c:y val="0.19493034925735817"/>
          <c:w val="0.3347184691126826"/>
          <c:h val="0.6604403712108045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862853</xdr:colOff>
      <xdr:row>34</xdr:row>
      <xdr:rowOff>96370</xdr:rowOff>
    </xdr:from>
    <xdr:to>
      <xdr:col>11</xdr:col>
      <xdr:colOff>11206</xdr:colOff>
      <xdr:row>60</xdr:row>
      <xdr:rowOff>179293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857529</xdr:colOff>
      <xdr:row>33</xdr:row>
      <xdr:rowOff>108978</xdr:rowOff>
    </xdr:from>
    <xdr:to>
      <xdr:col>6</xdr:col>
      <xdr:colOff>761999</xdr:colOff>
      <xdr:row>69</xdr:row>
      <xdr:rowOff>56029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O28"/>
  <sheetViews>
    <sheetView zoomScale="85" zoomScaleNormal="85" workbookViewId="0">
      <selection activeCell="A37" sqref="A37"/>
    </sheetView>
  </sheetViews>
  <sheetFormatPr defaultColWidth="9.1796875" defaultRowHeight="14.5" x14ac:dyDescent="0.35"/>
  <cols>
    <col min="1" max="1" width="100.54296875" style="152" customWidth="1"/>
    <col min="2" max="3" width="19" style="152" bestFit="1" customWidth="1"/>
    <col min="4" max="15" width="20" style="152" bestFit="1" customWidth="1"/>
    <col min="16" max="16384" width="9.1796875" style="152"/>
  </cols>
  <sheetData>
    <row r="1" spans="1:15" x14ac:dyDescent="0.35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x14ac:dyDescent="0.35">
      <c r="A2" s="227" t="s">
        <v>0</v>
      </c>
      <c r="B2" s="219" t="s">
        <v>7</v>
      </c>
      <c r="C2" s="228" t="s">
        <v>8</v>
      </c>
      <c r="D2" s="228" t="s">
        <v>9</v>
      </c>
      <c r="E2" s="228" t="s">
        <v>10</v>
      </c>
      <c r="F2" s="228" t="s">
        <v>11</v>
      </c>
      <c r="G2" s="219" t="s">
        <v>12</v>
      </c>
      <c r="H2" s="228" t="s">
        <v>13</v>
      </c>
      <c r="I2" s="228" t="s">
        <v>14</v>
      </c>
      <c r="J2" s="228" t="s">
        <v>15</v>
      </c>
      <c r="K2" s="228" t="s">
        <v>16</v>
      </c>
      <c r="L2" s="228" t="s">
        <v>17</v>
      </c>
      <c r="M2" s="228" t="s">
        <v>23</v>
      </c>
      <c r="N2" s="228" t="s">
        <v>24</v>
      </c>
      <c r="O2" s="229"/>
    </row>
    <row r="3" spans="1:15" ht="20.25" customHeight="1" x14ac:dyDescent="0.35">
      <c r="A3" s="153" t="s">
        <v>118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</row>
    <row r="5" spans="1:15" s="235" customFormat="1" x14ac:dyDescent="0.35">
      <c r="A5" s="242" t="s">
        <v>114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</row>
    <row r="6" spans="1:15" s="235" customFormat="1" ht="18" customHeight="1" x14ac:dyDescent="0.35">
      <c r="A6" s="235" t="s">
        <v>132</v>
      </c>
      <c r="B6" s="241">
        <f>'scenario 1'!B164</f>
        <v>82209.425352853184</v>
      </c>
      <c r="C6" s="241">
        <f>'scenario 1'!C164</f>
        <v>82209.425352853184</v>
      </c>
      <c r="D6" s="241">
        <f>'scenario 1'!D164</f>
        <v>82209.425352853184</v>
      </c>
      <c r="E6" s="241">
        <f>'scenario 1'!E164</f>
        <v>82209.425352853184</v>
      </c>
      <c r="F6" s="241">
        <f>'scenario 1'!F164</f>
        <v>82209.425352853184</v>
      </c>
      <c r="G6" s="241">
        <f>'scenario 1'!G164</f>
        <v>81229.969417786109</v>
      </c>
      <c r="H6" s="241">
        <f>'scenario 1'!H164</f>
        <v>81229.969417786109</v>
      </c>
      <c r="I6" s="241">
        <f>'scenario 1'!I164</f>
        <v>81229.969417786109</v>
      </c>
      <c r="J6" s="241">
        <f>'scenario 1'!J164</f>
        <v>81229.969417786109</v>
      </c>
      <c r="K6" s="241">
        <f>'scenario 1'!K164</f>
        <v>81229.969417786109</v>
      </c>
      <c r="L6" s="241">
        <f>'scenario 1'!L164</f>
        <v>81229.969417786109</v>
      </c>
      <c r="M6" s="241">
        <f>'scenario 1'!M164</f>
        <v>81229.969417786109</v>
      </c>
      <c r="N6" s="241">
        <f>'scenario 1'!N164</f>
        <v>81229.969417786109</v>
      </c>
      <c r="O6" s="241"/>
    </row>
    <row r="7" spans="1:15" s="235" customFormat="1" ht="18" customHeight="1" x14ac:dyDescent="0.35">
      <c r="A7" s="301" t="s">
        <v>129</v>
      </c>
      <c r="B7" s="241">
        <f>B6</f>
        <v>82209.425352853184</v>
      </c>
      <c r="C7" s="241">
        <f>B7+C6</f>
        <v>164418.85070570637</v>
      </c>
      <c r="D7" s="241">
        <f>C7+D6</f>
        <v>246628.27605855954</v>
      </c>
      <c r="E7" s="241">
        <f t="shared" ref="E7:N7" si="0">D7+E6</f>
        <v>328837.70141141274</v>
      </c>
      <c r="F7" s="241">
        <f t="shared" si="0"/>
        <v>411047.12676426594</v>
      </c>
      <c r="G7" s="241">
        <f t="shared" si="0"/>
        <v>492277.09618205205</v>
      </c>
      <c r="H7" s="241">
        <f t="shared" si="0"/>
        <v>573507.06559983816</v>
      </c>
      <c r="I7" s="241">
        <f t="shared" si="0"/>
        <v>654737.03501762426</v>
      </c>
      <c r="J7" s="241">
        <f t="shared" si="0"/>
        <v>735967.00443541037</v>
      </c>
      <c r="K7" s="241">
        <f t="shared" si="0"/>
        <v>817196.97385319648</v>
      </c>
      <c r="L7" s="241">
        <f t="shared" si="0"/>
        <v>898426.94327098259</v>
      </c>
      <c r="M7" s="241">
        <f t="shared" si="0"/>
        <v>979656.9126887687</v>
      </c>
      <c r="N7" s="241">
        <f t="shared" si="0"/>
        <v>1060886.8821065547</v>
      </c>
      <c r="O7" s="241"/>
    </row>
    <row r="8" spans="1:15" s="239" customFormat="1" ht="21.75" customHeight="1" x14ac:dyDescent="0.35">
      <c r="A8" s="240"/>
      <c r="B8" s="240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37"/>
    </row>
    <row r="9" spans="1:15" s="239" customFormat="1" x14ac:dyDescent="0.35">
      <c r="A9" s="238"/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</row>
    <row r="10" spans="1:15" x14ac:dyDescent="0.35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</row>
    <row r="11" spans="1:15" s="235" customFormat="1" x14ac:dyDescent="0.35">
      <c r="A11" s="242" t="s">
        <v>115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</row>
    <row r="12" spans="1:15" s="235" customFormat="1" ht="15.75" customHeight="1" x14ac:dyDescent="0.35">
      <c r="A12" s="235" t="s">
        <v>132</v>
      </c>
      <c r="B12" s="241">
        <f>'scenario 2.1 '!B164</f>
        <v>215973.38083043648</v>
      </c>
      <c r="C12" s="241">
        <f>'scenario 2.1 '!C164</f>
        <v>215973.38083043648</v>
      </c>
      <c r="D12" s="241">
        <f>'scenario 2.1 '!D164</f>
        <v>215973.38083043648</v>
      </c>
      <c r="E12" s="241">
        <f>'scenario 2.1 '!E164</f>
        <v>215973.38083043648</v>
      </c>
      <c r="F12" s="241">
        <f>'scenario 2.1 '!F164</f>
        <v>215973.38083043648</v>
      </c>
      <c r="G12" s="241">
        <f>'scenario 2.1 '!G164</f>
        <v>177540.01736164605</v>
      </c>
      <c r="H12" s="241">
        <f>'scenario 2.1 '!H164</f>
        <v>177540.01736164605</v>
      </c>
      <c r="I12" s="241">
        <f>'scenario 2.1 '!I164</f>
        <v>177540.01736164605</v>
      </c>
      <c r="J12" s="241">
        <f>'scenario 2.1 '!J164</f>
        <v>177540.01736164605</v>
      </c>
      <c r="K12" s="241">
        <f>'scenario 2.1 '!K164</f>
        <v>177540.01736164605</v>
      </c>
      <c r="L12" s="241">
        <f>'scenario 2.1 '!L164</f>
        <v>177540.01736164605</v>
      </c>
      <c r="M12" s="241">
        <f>'scenario 2.1 '!M164</f>
        <v>177540.01736164605</v>
      </c>
      <c r="N12" s="241">
        <f>'scenario 2.1 '!N164</f>
        <v>177540.01736164605</v>
      </c>
      <c r="O12" s="241"/>
    </row>
    <row r="13" spans="1:15" s="235" customFormat="1" ht="22.5" customHeight="1" x14ac:dyDescent="0.35">
      <c r="A13" s="302" t="s">
        <v>130</v>
      </c>
      <c r="B13" s="241">
        <f>B12</f>
        <v>215973.38083043648</v>
      </c>
      <c r="C13" s="241">
        <f>B13+C12</f>
        <v>431946.76166087296</v>
      </c>
      <c r="D13" s="241">
        <f t="shared" ref="D13:N13" si="1">C13+D12</f>
        <v>647920.14249130944</v>
      </c>
      <c r="E13" s="241">
        <f t="shared" si="1"/>
        <v>863893.52332174592</v>
      </c>
      <c r="F13" s="241">
        <f t="shared" si="1"/>
        <v>1079866.9041521824</v>
      </c>
      <c r="G13" s="241">
        <f t="shared" si="1"/>
        <v>1257406.9215138284</v>
      </c>
      <c r="H13" s="241">
        <f t="shared" si="1"/>
        <v>1434946.9388754745</v>
      </c>
      <c r="I13" s="241">
        <f t="shared" si="1"/>
        <v>1612486.9562371206</v>
      </c>
      <c r="J13" s="241">
        <f t="shared" si="1"/>
        <v>1790026.9735987666</v>
      </c>
      <c r="K13" s="241">
        <f t="shared" si="1"/>
        <v>1967566.9909604127</v>
      </c>
      <c r="L13" s="241">
        <f t="shared" si="1"/>
        <v>2145107.0083220587</v>
      </c>
      <c r="M13" s="241">
        <f t="shared" si="1"/>
        <v>2322647.0256837048</v>
      </c>
      <c r="N13" s="241">
        <f t="shared" si="1"/>
        <v>2500187.0430453508</v>
      </c>
      <c r="O13" s="241"/>
    </row>
    <row r="14" spans="1:15" s="239" customFormat="1" ht="21" customHeight="1" x14ac:dyDescent="0.35">
      <c r="A14" s="240"/>
      <c r="B14" s="240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37"/>
    </row>
    <row r="15" spans="1:15" s="239" customFormat="1" x14ac:dyDescent="0.35">
      <c r="A15" s="238"/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</row>
    <row r="16" spans="1:15" x14ac:dyDescent="0.35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</row>
    <row r="17" spans="1:15" x14ac:dyDescent="0.35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</row>
    <row r="18" spans="1:15" s="235" customFormat="1" x14ac:dyDescent="0.35">
      <c r="A18" s="242" t="s">
        <v>116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</row>
    <row r="19" spans="1:15" s="235" customFormat="1" x14ac:dyDescent="0.35">
      <c r="A19" s="235" t="s">
        <v>132</v>
      </c>
      <c r="B19" s="241"/>
      <c r="C19" s="241"/>
      <c r="D19" s="241"/>
      <c r="E19" s="241">
        <f>'scenario 3'!B164</f>
        <v>82209.425352853184</v>
      </c>
      <c r="F19" s="241">
        <f>'scenario 3'!C164</f>
        <v>82209.425352853184</v>
      </c>
      <c r="G19" s="241">
        <f>'scenario 3'!D164</f>
        <v>81229.969417786109</v>
      </c>
      <c r="H19" s="241">
        <f>'scenario 3'!E164</f>
        <v>81229.969417786109</v>
      </c>
      <c r="I19" s="241">
        <f>'scenario 3'!F164</f>
        <v>81229.969417786109</v>
      </c>
      <c r="J19" s="241">
        <f>'scenario 3'!G164</f>
        <v>81229.969417786109</v>
      </c>
      <c r="K19" s="241">
        <f>'scenario 3'!H164</f>
        <v>81229.969417786109</v>
      </c>
      <c r="L19" s="241">
        <f>'scenario 3'!I164</f>
        <v>81229.969417786109</v>
      </c>
      <c r="M19" s="241">
        <f>'scenario 3'!J164</f>
        <v>81229.969417786109</v>
      </c>
      <c r="N19" s="241">
        <f>'scenario 3'!K164</f>
        <v>81229.969417786109</v>
      </c>
      <c r="O19" s="241"/>
    </row>
    <row r="20" spans="1:15" s="235" customFormat="1" ht="29" x14ac:dyDescent="0.35">
      <c r="A20" s="296" t="s">
        <v>127</v>
      </c>
      <c r="B20" s="241"/>
      <c r="C20" s="241"/>
      <c r="D20" s="241"/>
      <c r="E20" s="241">
        <f>E19</f>
        <v>82209.425352853184</v>
      </c>
      <c r="F20" s="241">
        <f>E20+F19</f>
        <v>164418.85070570637</v>
      </c>
      <c r="G20" s="241">
        <f t="shared" ref="G20:N20" si="2">F20+G19</f>
        <v>245648.82012349248</v>
      </c>
      <c r="H20" s="241">
        <f t="shared" si="2"/>
        <v>326878.78954127862</v>
      </c>
      <c r="I20" s="241">
        <f t="shared" si="2"/>
        <v>408108.75895906473</v>
      </c>
      <c r="J20" s="241">
        <f t="shared" si="2"/>
        <v>489338.72837685084</v>
      </c>
      <c r="K20" s="241">
        <f t="shared" si="2"/>
        <v>570568.69779463694</v>
      </c>
      <c r="L20" s="241">
        <f t="shared" si="2"/>
        <v>651798.66721242305</v>
      </c>
      <c r="M20" s="241">
        <f t="shared" si="2"/>
        <v>733028.63663020916</v>
      </c>
      <c r="N20" s="241">
        <f t="shared" si="2"/>
        <v>814258.60604799527</v>
      </c>
      <c r="O20" s="241"/>
    </row>
    <row r="21" spans="1:15" s="239" customFormat="1" hidden="1" x14ac:dyDescent="0.35">
      <c r="A21" s="240" t="s">
        <v>64</v>
      </c>
      <c r="B21" s="240"/>
      <c r="C21" s="240"/>
      <c r="D21" s="240"/>
      <c r="E21" s="240">
        <v>6491640.7446279265</v>
      </c>
      <c r="F21" s="240">
        <v>6491640.7446279265</v>
      </c>
      <c r="G21" s="240">
        <v>5211491.2824076423</v>
      </c>
      <c r="H21" s="240">
        <v>5211491.2824076423</v>
      </c>
      <c r="I21" s="240">
        <v>5211491.2824076423</v>
      </c>
      <c r="J21" s="240">
        <v>5211491.2824076423</v>
      </c>
      <c r="K21" s="240">
        <v>5211491.2824076423</v>
      </c>
      <c r="L21" s="240">
        <v>5211491.2824076423</v>
      </c>
      <c r="M21" s="240">
        <v>5211491.2824076423</v>
      </c>
      <c r="N21" s="240">
        <v>5211491.2824076423</v>
      </c>
      <c r="O21" s="237"/>
    </row>
    <row r="22" spans="1:15" s="239" customFormat="1" x14ac:dyDescent="0.35">
      <c r="A22" s="238"/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</row>
    <row r="23" spans="1:15" x14ac:dyDescent="0.35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</row>
    <row r="24" spans="1:15" s="235" customFormat="1" x14ac:dyDescent="0.35">
      <c r="A24" s="242" t="s">
        <v>117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</row>
    <row r="25" spans="1:15" s="235" customFormat="1" x14ac:dyDescent="0.35">
      <c r="A25" s="235" t="s">
        <v>132</v>
      </c>
      <c r="B25" s="241"/>
      <c r="C25" s="241"/>
      <c r="D25" s="241"/>
      <c r="E25" s="241">
        <f>'scenario 4'!B164</f>
        <v>215973.38083043648</v>
      </c>
      <c r="F25" s="241">
        <f>'scenario 4'!C164</f>
        <v>215973.38083043648</v>
      </c>
      <c r="G25" s="241">
        <f>'scenario 4'!D164</f>
        <v>177540.01736164605</v>
      </c>
      <c r="H25" s="241">
        <f>'scenario 4'!E164</f>
        <v>177540.01736164605</v>
      </c>
      <c r="I25" s="241">
        <f>'scenario 4'!F164</f>
        <v>177540.01736164605</v>
      </c>
      <c r="J25" s="241">
        <f>'scenario 4'!G164</f>
        <v>177540.01736164605</v>
      </c>
      <c r="K25" s="241">
        <f>'scenario 4'!H164</f>
        <v>177540.01736164605</v>
      </c>
      <c r="L25" s="241">
        <f>'scenario 4'!I164</f>
        <v>177540.01736164605</v>
      </c>
      <c r="M25" s="241">
        <f>'scenario 4'!J164</f>
        <v>177540.01736164605</v>
      </c>
      <c r="N25" s="241">
        <f>'scenario 4'!K164</f>
        <v>177540.01736164605</v>
      </c>
      <c r="O25" s="241"/>
    </row>
    <row r="26" spans="1:15" s="235" customFormat="1" ht="29" x14ac:dyDescent="0.35">
      <c r="A26" s="298" t="s">
        <v>128</v>
      </c>
      <c r="B26" s="241"/>
      <c r="C26" s="241"/>
      <c r="D26" s="241"/>
      <c r="E26" s="241">
        <f>E25</f>
        <v>215973.38083043648</v>
      </c>
      <c r="F26" s="241">
        <f>E26+F25</f>
        <v>431946.76166087296</v>
      </c>
      <c r="G26" s="241">
        <f t="shared" ref="G26:N26" si="3">F26+G25</f>
        <v>609486.77902251901</v>
      </c>
      <c r="H26" s="241">
        <f t="shared" si="3"/>
        <v>787026.79638416506</v>
      </c>
      <c r="I26" s="241">
        <f t="shared" si="3"/>
        <v>964566.81374581112</v>
      </c>
      <c r="J26" s="241">
        <f t="shared" si="3"/>
        <v>1142106.8311074572</v>
      </c>
      <c r="K26" s="241">
        <f t="shared" si="3"/>
        <v>1319646.8484691032</v>
      </c>
      <c r="L26" s="241">
        <f t="shared" si="3"/>
        <v>1497186.8658307493</v>
      </c>
      <c r="M26" s="241">
        <f t="shared" si="3"/>
        <v>1674726.8831923953</v>
      </c>
      <c r="N26" s="241">
        <f t="shared" si="3"/>
        <v>1852266.9005540414</v>
      </c>
      <c r="O26" s="241"/>
    </row>
    <row r="27" spans="1:15" s="239" customFormat="1" hidden="1" x14ac:dyDescent="0.35">
      <c r="A27" s="240" t="s">
        <v>64</v>
      </c>
      <c r="B27" s="240"/>
      <c r="C27" s="240"/>
      <c r="D27" s="240"/>
      <c r="E27" s="240">
        <v>6491640.7446279265</v>
      </c>
      <c r="F27" s="240">
        <v>6491640.7446279265</v>
      </c>
      <c r="G27" s="240">
        <v>5211491.2824076423</v>
      </c>
      <c r="H27" s="240">
        <v>5211491.2824076423</v>
      </c>
      <c r="I27" s="240">
        <v>5211491.2824076423</v>
      </c>
      <c r="J27" s="240">
        <v>5211491.2824076423</v>
      </c>
      <c r="K27" s="240">
        <v>5211491.2824076423</v>
      </c>
      <c r="L27" s="240">
        <v>5211491.2824076423</v>
      </c>
      <c r="M27" s="240">
        <v>5211491.2824076423</v>
      </c>
      <c r="N27" s="240">
        <v>5211491.2824076423</v>
      </c>
      <c r="O27" s="237"/>
    </row>
    <row r="28" spans="1:15" s="235" customFormat="1" x14ac:dyDescent="0.35">
      <c r="A28" s="238"/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6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N183"/>
  <sheetViews>
    <sheetView workbookViewId="0">
      <selection activeCell="G20" sqref="G20"/>
    </sheetView>
  </sheetViews>
  <sheetFormatPr defaultRowHeight="14.5" x14ac:dyDescent="0.35"/>
  <cols>
    <col min="1" max="1" width="29.7265625" customWidth="1"/>
    <col min="2" max="20" width="14.81640625" bestFit="1" customWidth="1"/>
    <col min="21" max="21" width="15.81640625" bestFit="1" customWidth="1"/>
    <col min="22" max="22" width="9.1796875" style="168"/>
    <col min="23" max="23" width="26.26953125" style="147" customWidth="1"/>
    <col min="24" max="24" width="18.453125" style="147" customWidth="1"/>
    <col min="25" max="29" width="0" style="168" hidden="1" customWidth="1"/>
    <col min="30" max="32" width="9.1796875" style="168" hidden="1" customWidth="1"/>
    <col min="33" max="33" width="31.26953125" style="168" customWidth="1"/>
    <col min="34" max="34" width="27.26953125" style="168" customWidth="1"/>
    <col min="35" max="35" width="31.26953125" style="168" customWidth="1"/>
    <col min="36" max="36" width="5.7265625" style="151" customWidth="1"/>
    <col min="37" max="37" width="25.54296875" style="168" customWidth="1"/>
    <col min="38" max="38" width="22.26953125" style="168" customWidth="1"/>
    <col min="39" max="39" width="24.54296875" style="168" customWidth="1"/>
    <col min="40" max="40" width="5" style="151" customWidth="1"/>
    <col min="41" max="41" width="29.26953125" style="168" customWidth="1"/>
    <col min="42" max="42" width="33" style="168" customWidth="1"/>
    <col min="43" max="43" width="23.7265625" style="168" customWidth="1"/>
    <col min="44" max="66" width="9.1796875" style="168"/>
  </cols>
  <sheetData>
    <row r="1" spans="1:66" ht="15.5" x14ac:dyDescent="0.35">
      <c r="A1" s="75" t="s">
        <v>48</v>
      </c>
    </row>
    <row r="5" spans="1:66" x14ac:dyDescent="0.35">
      <c r="A5" s="180" t="s">
        <v>0</v>
      </c>
      <c r="B5" s="209" t="s">
        <v>1</v>
      </c>
      <c r="C5" s="181" t="s">
        <v>2</v>
      </c>
      <c r="D5" s="182" t="s">
        <v>3</v>
      </c>
      <c r="E5" s="182" t="s">
        <v>4</v>
      </c>
      <c r="F5" s="182" t="s">
        <v>5</v>
      </c>
      <c r="G5" s="182" t="s">
        <v>6</v>
      </c>
      <c r="H5" s="209" t="s">
        <v>7</v>
      </c>
      <c r="I5" s="182" t="s">
        <v>8</v>
      </c>
      <c r="J5" s="182" t="s">
        <v>9</v>
      </c>
      <c r="K5" s="182" t="s">
        <v>10</v>
      </c>
      <c r="L5" s="182" t="s">
        <v>11</v>
      </c>
      <c r="M5" s="209" t="s">
        <v>12</v>
      </c>
      <c r="N5" s="182" t="s">
        <v>13</v>
      </c>
      <c r="O5" s="182" t="s">
        <v>14</v>
      </c>
      <c r="P5" s="182" t="s">
        <v>15</v>
      </c>
      <c r="Q5" s="182" t="s">
        <v>16</v>
      </c>
      <c r="R5" s="183" t="s">
        <v>17</v>
      </c>
      <c r="S5" s="184" t="s">
        <v>23</v>
      </c>
      <c r="T5" s="184" t="s">
        <v>24</v>
      </c>
      <c r="U5" s="185" t="s">
        <v>18</v>
      </c>
      <c r="V5" s="159"/>
      <c r="W5" s="168"/>
    </row>
    <row r="6" spans="1:66" x14ac:dyDescent="0.35">
      <c r="A6" s="154" t="s">
        <v>25</v>
      </c>
      <c r="B6" s="221">
        <v>726</v>
      </c>
      <c r="C6" s="186">
        <v>726</v>
      </c>
      <c r="D6" s="186">
        <v>726</v>
      </c>
      <c r="E6" s="186">
        <v>726</v>
      </c>
      <c r="F6" s="186">
        <v>726</v>
      </c>
      <c r="G6" s="186">
        <v>726</v>
      </c>
      <c r="H6" s="210">
        <v>726</v>
      </c>
      <c r="I6" s="186">
        <v>726</v>
      </c>
      <c r="J6" s="186">
        <v>726</v>
      </c>
      <c r="K6" s="186">
        <v>726</v>
      </c>
      <c r="L6" s="186">
        <v>726</v>
      </c>
      <c r="M6" s="210">
        <v>726</v>
      </c>
      <c r="N6" s="186">
        <v>726</v>
      </c>
      <c r="O6" s="186">
        <v>726</v>
      </c>
      <c r="P6" s="186">
        <v>726</v>
      </c>
      <c r="Q6" s="186">
        <v>726</v>
      </c>
      <c r="R6" s="186">
        <v>726</v>
      </c>
      <c r="S6" s="186">
        <v>726</v>
      </c>
      <c r="T6" s="186">
        <v>726</v>
      </c>
      <c r="U6" s="186">
        <v>13800</v>
      </c>
      <c r="V6" s="160"/>
      <c r="W6" s="169"/>
      <c r="X6" s="170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50"/>
      <c r="AK6" s="169"/>
      <c r="AL6" s="169"/>
      <c r="AM6" s="169"/>
      <c r="AN6" s="150"/>
      <c r="AO6" s="169"/>
      <c r="AP6" s="169"/>
      <c r="AQ6" s="169"/>
      <c r="AR6" s="169"/>
    </row>
    <row r="7" spans="1:66" x14ac:dyDescent="0.35">
      <c r="A7" s="187" t="s">
        <v>20</v>
      </c>
      <c r="B7" s="210">
        <v>154.22553087625062</v>
      </c>
      <c r="C7" s="188">
        <v>154.22553087625062</v>
      </c>
      <c r="D7" s="188">
        <v>154.22553087625062</v>
      </c>
      <c r="E7" s="188">
        <v>154.22553087625062</v>
      </c>
      <c r="F7" s="188">
        <v>154.22553087625062</v>
      </c>
      <c r="G7" s="188">
        <v>154.22553087625062</v>
      </c>
      <c r="H7" s="210">
        <v>154.22553087625062</v>
      </c>
      <c r="I7" s="188">
        <v>154.22553087625062</v>
      </c>
      <c r="J7" s="188">
        <v>154.22553087625062</v>
      </c>
      <c r="K7" s="188">
        <v>154.22553087625062</v>
      </c>
      <c r="L7" s="188">
        <v>154.22553087625062</v>
      </c>
      <c r="M7" s="210">
        <v>154.22553087625062</v>
      </c>
      <c r="N7" s="188">
        <v>154.22553087625062</v>
      </c>
      <c r="O7" s="188">
        <v>154.22553087625062</v>
      </c>
      <c r="P7" s="188">
        <v>154.22553087625062</v>
      </c>
      <c r="Q7" s="188">
        <v>154.22553087625062</v>
      </c>
      <c r="R7" s="188">
        <v>154.22553087625062</v>
      </c>
      <c r="S7" s="188">
        <v>154.22553087625062</v>
      </c>
      <c r="T7" s="188">
        <v>154.22553087625062</v>
      </c>
      <c r="U7" s="188">
        <v>2931.559677813028</v>
      </c>
      <c r="V7" s="159"/>
      <c r="W7" s="168"/>
    </row>
    <row r="8" spans="1:66" x14ac:dyDescent="0.35">
      <c r="A8" s="187" t="s">
        <v>21</v>
      </c>
      <c r="B8" s="210">
        <v>196.69514278740564</v>
      </c>
      <c r="C8" s="188">
        <v>196.69514278740564</v>
      </c>
      <c r="D8" s="188">
        <v>196.69514278740564</v>
      </c>
      <c r="E8" s="188">
        <v>196.69514278740564</v>
      </c>
      <c r="F8" s="188">
        <v>196.69514278740564</v>
      </c>
      <c r="G8" s="188">
        <v>196.69514278740564</v>
      </c>
      <c r="H8" s="210">
        <v>196.69514278740564</v>
      </c>
      <c r="I8" s="188">
        <v>196.69514278740564</v>
      </c>
      <c r="J8" s="188">
        <v>196.69514278740564</v>
      </c>
      <c r="K8" s="188">
        <v>196.69514278740564</v>
      </c>
      <c r="L8" s="188">
        <v>196.69514278740564</v>
      </c>
      <c r="M8" s="210">
        <v>196.69514278740564</v>
      </c>
      <c r="N8" s="188">
        <v>196.69514278740564</v>
      </c>
      <c r="O8" s="188">
        <v>196.69514278740564</v>
      </c>
      <c r="P8" s="188">
        <v>196.69514278740564</v>
      </c>
      <c r="Q8" s="188">
        <v>196.69514278740564</v>
      </c>
      <c r="R8" s="188">
        <v>196.69514278740564</v>
      </c>
      <c r="S8" s="188">
        <v>196.69514278740564</v>
      </c>
      <c r="T8" s="188">
        <v>196.69514278740564</v>
      </c>
      <c r="U8" s="188">
        <v>3738.8332926531652</v>
      </c>
      <c r="V8" s="159"/>
      <c r="W8" s="168"/>
    </row>
    <row r="9" spans="1:66" x14ac:dyDescent="0.35">
      <c r="A9" s="187" t="s">
        <v>26</v>
      </c>
      <c r="B9" s="211">
        <v>270.64779106663434</v>
      </c>
      <c r="C9" s="189">
        <v>270.64779106663434</v>
      </c>
      <c r="D9" s="189">
        <v>270.64779106663434</v>
      </c>
      <c r="E9" s="189">
        <v>270.64779106663434</v>
      </c>
      <c r="F9" s="189">
        <v>270.64779106663434</v>
      </c>
      <c r="G9" s="189">
        <v>270.64779106663434</v>
      </c>
      <c r="H9" s="211">
        <v>270.64779106663434</v>
      </c>
      <c r="I9" s="189">
        <v>270.64779106663434</v>
      </c>
      <c r="J9" s="189">
        <v>270.64779106663434</v>
      </c>
      <c r="K9" s="189">
        <v>270.64779106663434</v>
      </c>
      <c r="L9" s="189">
        <v>270.64779106663434</v>
      </c>
      <c r="M9" s="211">
        <v>270.64779106663434</v>
      </c>
      <c r="N9" s="189">
        <v>270.64779106663434</v>
      </c>
      <c r="O9" s="189">
        <v>270.64779106663434</v>
      </c>
      <c r="P9" s="189">
        <v>270.64779106663434</v>
      </c>
      <c r="Q9" s="189">
        <v>270.64779106663434</v>
      </c>
      <c r="R9" s="189">
        <v>270.64779106663434</v>
      </c>
      <c r="S9" s="189">
        <v>270.64779106663434</v>
      </c>
      <c r="T9" s="189">
        <v>270.64779106663434</v>
      </c>
      <c r="U9" s="189">
        <v>5144.5447888699091</v>
      </c>
      <c r="V9" s="159"/>
      <c r="W9" s="168"/>
    </row>
    <row r="10" spans="1:66" x14ac:dyDescent="0.35">
      <c r="A10" s="190" t="s">
        <v>22</v>
      </c>
      <c r="B10" s="210">
        <v>104.49060288014964</v>
      </c>
      <c r="C10" s="188">
        <v>104.49060288014964</v>
      </c>
      <c r="D10" s="188">
        <v>104.49060288014964</v>
      </c>
      <c r="E10" s="188">
        <v>104.49060288014964</v>
      </c>
      <c r="F10" s="188">
        <v>104.49060288014964</v>
      </c>
      <c r="G10" s="188">
        <v>104.49060288014964</v>
      </c>
      <c r="H10" s="210">
        <v>104.49060288014964</v>
      </c>
      <c r="I10" s="188">
        <v>104.49060288014964</v>
      </c>
      <c r="J10" s="188">
        <v>104.49060288014964</v>
      </c>
      <c r="K10" s="188">
        <v>104.49060288014964</v>
      </c>
      <c r="L10" s="188">
        <v>104.49060288014964</v>
      </c>
      <c r="M10" s="210">
        <v>104.49060288014964</v>
      </c>
      <c r="N10" s="188">
        <v>104.49060288014964</v>
      </c>
      <c r="O10" s="188">
        <v>104.49060288014964</v>
      </c>
      <c r="P10" s="188">
        <v>104.49060288014964</v>
      </c>
      <c r="Q10" s="188">
        <v>104.49060288014964</v>
      </c>
      <c r="R10" s="188">
        <v>104.49060288014964</v>
      </c>
      <c r="S10" s="188">
        <v>104.49060288014964</v>
      </c>
      <c r="T10" s="188">
        <v>104.49060288014964</v>
      </c>
      <c r="U10" s="188">
        <v>1986.1850134243318</v>
      </c>
      <c r="V10" s="167"/>
      <c r="W10" s="168"/>
    </row>
    <row r="11" spans="1:66" s="80" customFormat="1" ht="15" thickBot="1" x14ac:dyDescent="0.4">
      <c r="A11" s="179"/>
      <c r="B11" s="212"/>
      <c r="C11" s="179"/>
      <c r="D11" s="179"/>
      <c r="E11" s="179"/>
      <c r="F11" s="179"/>
      <c r="G11" s="179"/>
      <c r="H11" s="212"/>
      <c r="I11" s="179"/>
      <c r="J11" s="179"/>
      <c r="K11" s="179"/>
      <c r="L11" s="179"/>
      <c r="M11" s="212"/>
      <c r="N11" s="179"/>
      <c r="O11" s="179"/>
      <c r="P11" s="179"/>
      <c r="Q11" s="179"/>
      <c r="R11" s="179"/>
      <c r="S11" s="179"/>
      <c r="T11" s="179"/>
      <c r="U11" s="179"/>
      <c r="V11" s="159"/>
      <c r="W11" s="168"/>
      <c r="X11" s="147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51"/>
      <c r="AK11" s="168"/>
      <c r="AL11" s="168"/>
      <c r="AM11" s="168"/>
      <c r="AN11" s="151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</row>
    <row r="12" spans="1:66" ht="15" thickBot="1" x14ac:dyDescent="0.4">
      <c r="A12" s="191" t="s">
        <v>55</v>
      </c>
      <c r="B12" s="213"/>
      <c r="C12" s="192"/>
      <c r="D12" s="192"/>
      <c r="E12" s="192"/>
      <c r="F12" s="192"/>
      <c r="G12" s="192"/>
      <c r="H12" s="213"/>
      <c r="I12" s="192"/>
      <c r="J12" s="192"/>
      <c r="K12" s="192"/>
      <c r="L12" s="192"/>
      <c r="M12" s="213"/>
      <c r="N12" s="192"/>
      <c r="O12" s="192"/>
      <c r="P12" s="192"/>
      <c r="Q12" s="192"/>
      <c r="R12" s="192"/>
      <c r="S12" s="192"/>
      <c r="T12" s="192"/>
      <c r="U12" s="192"/>
      <c r="V12" s="166"/>
      <c r="W12" s="168"/>
    </row>
    <row r="13" spans="1:66" s="78" customFormat="1" x14ac:dyDescent="0.35">
      <c r="A13" s="193" t="s">
        <v>112</v>
      </c>
      <c r="B13" s="214">
        <f>(30*(B7*$AH$17)+(B8*$AH$18)+(B9*$AH$19)+(B10*$AH$20))+'reference data- 2'!B13</f>
        <v>5626985.9591491828</v>
      </c>
      <c r="C13" s="214">
        <f>(30*(C7*$AH$17)+(C8*$AH$18)+(C9*$AH$19)+(C10*$AH$20))+'reference data- 2'!C13</f>
        <v>5626985.9591491828</v>
      </c>
      <c r="D13" s="214">
        <f>(30*(D7*$AH$17)+(D8*$AH$18)+(D9*$AH$19)+(D10*$AH$20))+'reference data- 2'!D13</f>
        <v>5626985.9591491828</v>
      </c>
      <c r="E13" s="214">
        <f>(30*(E7*$AH$17)+(E8*$AH$18)+(E9*$AH$19)+(E10*$AH$20))+'reference data- 2'!E13</f>
        <v>5626985.9591491828</v>
      </c>
      <c r="F13" s="214">
        <f>(30*(F7*$AH$17)+(F8*$AH$18)+(F9*$AH$19)+(F10*$AH$20))+'reference data- 2'!F13</f>
        <v>5626985.9591491828</v>
      </c>
      <c r="G13" s="214">
        <f>(30*(G7*$AH$17)+(G8*$AH$18)+(G9*$AH$19)+(G10*$AH$20))+'reference data- 2'!G13</f>
        <v>5626985.9591491828</v>
      </c>
      <c r="H13" s="214">
        <f>(30*(H7*$AL$17)+(H8*$AL$18)+(H9*$AL$19)+(H10*$AL$20))+'reference data- 2'!H13</f>
        <v>5386791.1601678319</v>
      </c>
      <c r="I13" s="214">
        <f>(30*(I7*$AL$17)+(I8*$AL$18)+(I9*$AL$19)+(I10*$AL$20))+'reference data- 2'!I13</f>
        <v>5386791.1601678319</v>
      </c>
      <c r="J13" s="214">
        <f>(30*(J7*$AL$17)+(J8*$AL$18)+(J9*$AL$19)+(J10*$AL$20))+'reference data- 2'!J13</f>
        <v>5386791.1601678319</v>
      </c>
      <c r="K13" s="214">
        <f>(30*(K7*$AL$17)+(K8*$AL$18)+(K9*$AL$19)+(K10*$AL$20))+'reference data- 2'!K13</f>
        <v>5386791.1601678319</v>
      </c>
      <c r="L13" s="214">
        <f>(30*(L7*$AL$17)+(L8*$AL$18)+(L9*$AL$19)+(L10*$AL$20))+'reference data- 2'!L13</f>
        <v>5386791.1601678319</v>
      </c>
      <c r="M13" s="214">
        <f>(30*(M7*$AP$17)+(M8*$AP$18)+(M9*$AP$19)+(M10*$AP$20))+'reference data- 2'!M13</f>
        <v>4622534.9815908065</v>
      </c>
      <c r="N13" s="214">
        <f>(30*(N7*$AP$17)+(N8*$AP$18)+(N9*$AP$19)+(N10*$AP$20))+'reference data- 2'!N13</f>
        <v>4622534.9815908065</v>
      </c>
      <c r="O13" s="214">
        <f>(30*(O7*$AP$17)+(O8*$AP$18)+(O9*$AP$19)+(O10*$AP$20))+'reference data- 2'!O13</f>
        <v>4622534.9815908065</v>
      </c>
      <c r="P13" s="214">
        <f>(30*(P7*$AP$17)+(P8*$AP$18)+(P9*$AP$19)+(P10*$AP$20))+'reference data- 2'!P13</f>
        <v>4622534.9815908065</v>
      </c>
      <c r="Q13" s="214">
        <f>(30*(Q7*$AP$17)+(Q8*$AP$18)+(Q9*$AP$19)+(Q10*$AP$20))+'reference data- 2'!Q13</f>
        <v>4622534.9815908065</v>
      </c>
      <c r="R13" s="214">
        <f>(30*(R7*$AP$17)+(R8*$AP$18)+(R9*$AP$19)+(R10*$AP$20))+'reference data- 2'!R13</f>
        <v>4622534.9815908065</v>
      </c>
      <c r="S13" s="214">
        <f>(30*(S7*$AP$17)+(S8*$AP$18)+(S9*$AP$19)+(S10*$AP$20))+'reference data- 2'!S13</f>
        <v>4622534.9815908065</v>
      </c>
      <c r="T13" s="214">
        <f>(30*(T7*$AP$17)+(T8*$AP$18)+(T9*$AP$19)+(T10*$AP$20))+'reference data- 2'!T13</f>
        <v>4622534.9815908065</v>
      </c>
      <c r="U13" s="223">
        <f>SUM(B13:T13)</f>
        <v>97676151.408460706</v>
      </c>
      <c r="V13" s="162"/>
      <c r="W13" s="168"/>
      <c r="X13" s="147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51"/>
      <c r="AK13" s="168"/>
      <c r="AL13" s="168"/>
      <c r="AM13" s="168"/>
      <c r="AN13" s="151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</row>
    <row r="14" spans="1:66" s="77" customFormat="1" x14ac:dyDescent="0.35">
      <c r="A14" s="193" t="s">
        <v>113</v>
      </c>
      <c r="B14" s="214">
        <f>B13/1000</f>
        <v>5626.9859591491831</v>
      </c>
      <c r="C14" s="214">
        <f t="shared" ref="C14:U14" si="0">C13/1000</f>
        <v>5626.9859591491831</v>
      </c>
      <c r="D14" s="214">
        <f t="shared" si="0"/>
        <v>5626.9859591491831</v>
      </c>
      <c r="E14" s="214">
        <f t="shared" si="0"/>
        <v>5626.9859591491831</v>
      </c>
      <c r="F14" s="214">
        <f t="shared" si="0"/>
        <v>5626.9859591491831</v>
      </c>
      <c r="G14" s="214">
        <f t="shared" si="0"/>
        <v>5626.9859591491831</v>
      </c>
      <c r="H14" s="214">
        <f t="shared" si="0"/>
        <v>5386.7911601678315</v>
      </c>
      <c r="I14" s="214">
        <f t="shared" si="0"/>
        <v>5386.7911601678315</v>
      </c>
      <c r="J14" s="214">
        <f t="shared" si="0"/>
        <v>5386.7911601678315</v>
      </c>
      <c r="K14" s="214">
        <f t="shared" si="0"/>
        <v>5386.7911601678315</v>
      </c>
      <c r="L14" s="214">
        <f t="shared" si="0"/>
        <v>5386.7911601678315</v>
      </c>
      <c r="M14" s="214">
        <f t="shared" si="0"/>
        <v>4622.5349815908066</v>
      </c>
      <c r="N14" s="214">
        <f t="shared" si="0"/>
        <v>4622.5349815908066</v>
      </c>
      <c r="O14" s="214">
        <f t="shared" si="0"/>
        <v>4622.5349815908066</v>
      </c>
      <c r="P14" s="214">
        <f t="shared" si="0"/>
        <v>4622.5349815908066</v>
      </c>
      <c r="Q14" s="214">
        <f t="shared" si="0"/>
        <v>4622.5349815908066</v>
      </c>
      <c r="R14" s="214">
        <f t="shared" si="0"/>
        <v>4622.5349815908066</v>
      </c>
      <c r="S14" s="214">
        <f t="shared" si="0"/>
        <v>4622.5349815908066</v>
      </c>
      <c r="T14" s="214">
        <f t="shared" si="0"/>
        <v>4622.5349815908066</v>
      </c>
      <c r="U14" s="214">
        <f t="shared" si="0"/>
        <v>97676.151408460704</v>
      </c>
      <c r="V14" s="163"/>
      <c r="W14" s="168"/>
      <c r="X14" s="147"/>
      <c r="Y14" s="168"/>
      <c r="Z14" s="168"/>
      <c r="AA14" s="168"/>
      <c r="AB14" s="168"/>
      <c r="AC14" s="168"/>
      <c r="AD14" s="168"/>
      <c r="AE14" s="168"/>
      <c r="AF14" s="168"/>
      <c r="AG14" s="342" t="s">
        <v>58</v>
      </c>
      <c r="AH14" s="342"/>
      <c r="AI14" s="342"/>
      <c r="AJ14" s="150"/>
      <c r="AK14" s="343" t="s">
        <v>59</v>
      </c>
      <c r="AL14" s="343"/>
      <c r="AM14" s="343"/>
      <c r="AN14" s="150"/>
      <c r="AO14" s="342" t="s">
        <v>106</v>
      </c>
      <c r="AP14" s="342"/>
      <c r="AQ14" s="342"/>
      <c r="AR14" s="342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</row>
    <row r="15" spans="1:66" s="77" customFormat="1" x14ac:dyDescent="0.35">
      <c r="A15" s="193" t="s">
        <v>64</v>
      </c>
      <c r="B15" s="215">
        <f>B14*144</f>
        <v>810285.97811748239</v>
      </c>
      <c r="C15" s="215">
        <f t="shared" ref="C15:U15" si="1">C14*144</f>
        <v>810285.97811748239</v>
      </c>
      <c r="D15" s="215">
        <f t="shared" si="1"/>
        <v>810285.97811748239</v>
      </c>
      <c r="E15" s="215">
        <f t="shared" si="1"/>
        <v>810285.97811748239</v>
      </c>
      <c r="F15" s="215">
        <f t="shared" si="1"/>
        <v>810285.97811748239</v>
      </c>
      <c r="G15" s="215">
        <f t="shared" si="1"/>
        <v>810285.97811748239</v>
      </c>
      <c r="H15" s="215">
        <f t="shared" si="1"/>
        <v>775697.9270641678</v>
      </c>
      <c r="I15" s="215">
        <f t="shared" si="1"/>
        <v>775697.9270641678</v>
      </c>
      <c r="J15" s="215">
        <f t="shared" si="1"/>
        <v>775697.9270641678</v>
      </c>
      <c r="K15" s="215">
        <f t="shared" si="1"/>
        <v>775697.9270641678</v>
      </c>
      <c r="L15" s="215">
        <f t="shared" si="1"/>
        <v>775697.9270641678</v>
      </c>
      <c r="M15" s="215">
        <f t="shared" si="1"/>
        <v>665645.03734907613</v>
      </c>
      <c r="N15" s="215">
        <f t="shared" si="1"/>
        <v>665645.03734907613</v>
      </c>
      <c r="O15" s="215">
        <f t="shared" si="1"/>
        <v>665645.03734907613</v>
      </c>
      <c r="P15" s="215">
        <f t="shared" si="1"/>
        <v>665645.03734907613</v>
      </c>
      <c r="Q15" s="215">
        <f t="shared" si="1"/>
        <v>665645.03734907613</v>
      </c>
      <c r="R15" s="215">
        <f t="shared" si="1"/>
        <v>665645.03734907613</v>
      </c>
      <c r="S15" s="215">
        <f t="shared" si="1"/>
        <v>665645.03734907613</v>
      </c>
      <c r="T15" s="215">
        <f t="shared" si="1"/>
        <v>665645.03734907613</v>
      </c>
      <c r="U15" s="215">
        <f t="shared" si="1"/>
        <v>14065365.802818341</v>
      </c>
      <c r="V15" s="162"/>
      <c r="W15" s="168"/>
      <c r="X15" s="147"/>
      <c r="Y15" s="168" t="s">
        <v>79</v>
      </c>
      <c r="Z15" s="168"/>
      <c r="AA15" s="168" t="s">
        <v>78</v>
      </c>
      <c r="AB15" s="168"/>
      <c r="AC15" s="168"/>
      <c r="AD15" s="168"/>
      <c r="AE15" s="168"/>
      <c r="AF15" s="168"/>
      <c r="AG15" s="176" t="s">
        <v>77</v>
      </c>
      <c r="AH15" s="176" t="s">
        <v>76</v>
      </c>
      <c r="AI15" s="176" t="s">
        <v>75</v>
      </c>
      <c r="AJ15" s="177"/>
      <c r="AK15" s="176" t="s">
        <v>77</v>
      </c>
      <c r="AL15" s="176" t="s">
        <v>76</v>
      </c>
      <c r="AM15" s="176" t="s">
        <v>75</v>
      </c>
      <c r="AN15" s="176"/>
      <c r="AO15" s="176" t="s">
        <v>77</v>
      </c>
      <c r="AP15" s="176" t="s">
        <v>76</v>
      </c>
      <c r="AQ15" s="176" t="s">
        <v>75</v>
      </c>
      <c r="AR15" s="169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</row>
    <row r="16" spans="1:66" s="77" customFormat="1" ht="15" thickBot="1" x14ac:dyDescent="0.4">
      <c r="A16" s="193"/>
      <c r="B16" s="213"/>
      <c r="C16" s="196"/>
      <c r="D16" s="194"/>
      <c r="E16" s="194"/>
      <c r="F16" s="194"/>
      <c r="G16" s="194"/>
      <c r="H16" s="214"/>
      <c r="I16" s="194"/>
      <c r="J16" s="194"/>
      <c r="K16" s="194"/>
      <c r="L16" s="194"/>
      <c r="M16" s="214"/>
      <c r="N16" s="194"/>
      <c r="O16" s="194"/>
      <c r="P16" s="194"/>
      <c r="Q16" s="194"/>
      <c r="R16" s="194"/>
      <c r="S16" s="194"/>
      <c r="T16" s="194"/>
      <c r="U16" s="194"/>
      <c r="V16" s="164"/>
      <c r="W16" s="168"/>
      <c r="X16" s="147"/>
      <c r="Y16" s="168" t="s">
        <v>74</v>
      </c>
      <c r="Z16" s="168" t="s">
        <v>73</v>
      </c>
      <c r="AA16" s="168" t="s">
        <v>72</v>
      </c>
      <c r="AB16" s="168"/>
      <c r="AC16" s="168"/>
      <c r="AD16" s="168"/>
      <c r="AE16" s="168"/>
      <c r="AF16" s="168"/>
      <c r="AG16" s="176" t="s">
        <v>71</v>
      </c>
      <c r="AH16" s="176" t="s">
        <v>71</v>
      </c>
      <c r="AI16" s="176" t="s">
        <v>71</v>
      </c>
      <c r="AJ16" s="177"/>
      <c r="AK16" s="176" t="s">
        <v>71</v>
      </c>
      <c r="AL16" s="176" t="s">
        <v>71</v>
      </c>
      <c r="AM16" s="176" t="s">
        <v>71</v>
      </c>
      <c r="AN16" s="176"/>
      <c r="AO16" s="176" t="s">
        <v>71</v>
      </c>
      <c r="AP16" s="176" t="s">
        <v>71</v>
      </c>
      <c r="AQ16" s="176" t="s">
        <v>71</v>
      </c>
      <c r="AR16" s="169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</row>
    <row r="17" spans="1:66" s="79" customFormat="1" ht="15" thickBot="1" x14ac:dyDescent="0.4">
      <c r="A17" s="197"/>
      <c r="B17" s="216"/>
      <c r="C17" s="198"/>
      <c r="D17" s="198"/>
      <c r="E17" s="198"/>
      <c r="F17" s="198"/>
      <c r="G17" s="198"/>
      <c r="H17" s="216"/>
      <c r="I17" s="198"/>
      <c r="J17" s="198"/>
      <c r="K17" s="198"/>
      <c r="L17" s="198"/>
      <c r="M17" s="216"/>
      <c r="N17" s="198"/>
      <c r="O17" s="198"/>
      <c r="P17" s="198"/>
      <c r="Q17" s="198"/>
      <c r="R17" s="198"/>
      <c r="S17" s="198"/>
      <c r="T17" s="198"/>
      <c r="U17" s="198"/>
      <c r="V17" s="159"/>
      <c r="W17" s="168"/>
      <c r="X17" s="173" t="s">
        <v>70</v>
      </c>
      <c r="Y17" s="172">
        <v>7756.2950000000001</v>
      </c>
      <c r="Z17" s="172">
        <v>517.5204</v>
      </c>
      <c r="AA17" s="172">
        <v>4079</v>
      </c>
      <c r="AB17" s="172"/>
      <c r="AC17" s="172"/>
      <c r="AD17" s="172"/>
      <c r="AE17" s="172"/>
      <c r="AF17" s="172"/>
      <c r="AG17" s="174">
        <v>1699.2047244</v>
      </c>
      <c r="AH17" s="174">
        <v>554.74400000000003</v>
      </c>
      <c r="AI17" s="174">
        <v>2253.9487244000002</v>
      </c>
      <c r="AJ17" s="175"/>
      <c r="AK17" s="174">
        <v>1693.5119999999999</v>
      </c>
      <c r="AL17" s="174">
        <v>509.875</v>
      </c>
      <c r="AM17" s="174">
        <v>2203.3869999999997</v>
      </c>
      <c r="AN17" s="175"/>
      <c r="AO17" s="174">
        <v>1675.398786</v>
      </c>
      <c r="AP17" s="174">
        <v>367.11</v>
      </c>
      <c r="AQ17" s="174">
        <v>2042.5087859999999</v>
      </c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</row>
    <row r="18" spans="1:66" x14ac:dyDescent="0.35">
      <c r="A18" s="179"/>
      <c r="B18" s="212"/>
      <c r="C18" s="179"/>
      <c r="D18" s="179"/>
      <c r="E18" s="179"/>
      <c r="F18" s="179"/>
      <c r="G18" s="179"/>
      <c r="H18" s="212"/>
      <c r="I18" s="179"/>
      <c r="J18" s="179"/>
      <c r="K18" s="179"/>
      <c r="L18" s="179"/>
      <c r="M18" s="212"/>
      <c r="N18" s="179"/>
      <c r="O18" s="179"/>
      <c r="P18" s="179"/>
      <c r="Q18" s="179"/>
      <c r="R18" s="179"/>
      <c r="S18" s="179"/>
      <c r="T18" s="179"/>
      <c r="U18" s="179"/>
      <c r="V18" s="159"/>
      <c r="W18" s="168"/>
      <c r="X18" s="173" t="s">
        <v>69</v>
      </c>
      <c r="Y18" s="172">
        <v>5851</v>
      </c>
      <c r="Z18" s="172">
        <v>443</v>
      </c>
      <c r="AA18" s="172">
        <v>3428</v>
      </c>
      <c r="AB18" s="172"/>
      <c r="AC18" s="172"/>
      <c r="AD18" s="172"/>
      <c r="AE18" s="172"/>
      <c r="AF18" s="172"/>
      <c r="AG18" s="174">
        <v>1288.9580000000001</v>
      </c>
      <c r="AH18" s="174">
        <v>466.20800000000003</v>
      </c>
      <c r="AI18" s="174">
        <v>1755.1660000000002</v>
      </c>
      <c r="AJ18" s="175"/>
      <c r="AK18" s="174">
        <v>1284.085</v>
      </c>
      <c r="AL18" s="174">
        <v>428.5</v>
      </c>
      <c r="AM18" s="174">
        <v>1717.4580000000001</v>
      </c>
      <c r="AN18" s="175"/>
      <c r="AO18" s="174">
        <v>1268.58</v>
      </c>
      <c r="AP18" s="174">
        <v>308.52</v>
      </c>
      <c r="AQ18" s="174">
        <v>1577.1</v>
      </c>
    </row>
    <row r="19" spans="1:66" x14ac:dyDescent="0.35">
      <c r="A19" s="179"/>
      <c r="B19" s="212"/>
      <c r="C19" s="179"/>
      <c r="D19" s="179"/>
      <c r="E19" s="179"/>
      <c r="F19" s="179"/>
      <c r="G19" s="179"/>
      <c r="H19" s="212"/>
      <c r="I19" s="179"/>
      <c r="J19" s="179"/>
      <c r="K19" s="179"/>
      <c r="L19" s="179"/>
      <c r="M19" s="212"/>
      <c r="N19" s="179"/>
      <c r="O19" s="179"/>
      <c r="P19" s="179"/>
      <c r="Q19" s="179"/>
      <c r="R19" s="179"/>
      <c r="S19" s="179"/>
      <c r="T19" s="179"/>
      <c r="U19" s="179"/>
      <c r="V19" s="159"/>
      <c r="W19" s="168"/>
      <c r="X19" s="173" t="s">
        <v>65</v>
      </c>
      <c r="Y19" s="172">
        <v>6404.3546999999999</v>
      </c>
      <c r="Z19" s="172">
        <v>466.53879999999998</v>
      </c>
      <c r="AA19" s="172">
        <v>3428</v>
      </c>
      <c r="AB19" s="172"/>
      <c r="AC19" s="172"/>
      <c r="AD19" s="172"/>
      <c r="AE19" s="172"/>
      <c r="AF19" s="172"/>
      <c r="AG19" s="174">
        <v>1408.3637638</v>
      </c>
      <c r="AH19" s="174">
        <v>466.20800000000003</v>
      </c>
      <c r="AI19" s="174">
        <v>1874.5717638000001</v>
      </c>
      <c r="AJ19" s="175"/>
      <c r="AK19" s="174">
        <v>1403.231837</v>
      </c>
      <c r="AL19" s="174">
        <v>428.5</v>
      </c>
      <c r="AM19" s="174">
        <v>1836.8637638</v>
      </c>
      <c r="AN19" s="175"/>
      <c r="AO19" s="174">
        <v>1386.902979</v>
      </c>
      <c r="AP19" s="174">
        <v>308.52</v>
      </c>
      <c r="AQ19" s="174">
        <v>1695.4229789999999</v>
      </c>
    </row>
    <row r="20" spans="1:66" x14ac:dyDescent="0.35">
      <c r="A20" s="180" t="s">
        <v>0</v>
      </c>
      <c r="B20" s="209" t="s">
        <v>1</v>
      </c>
      <c r="C20" s="181" t="s">
        <v>2</v>
      </c>
      <c r="D20" s="182" t="s">
        <v>3</v>
      </c>
      <c r="E20" s="182" t="s">
        <v>4</v>
      </c>
      <c r="F20" s="182" t="s">
        <v>5</v>
      </c>
      <c r="G20" s="182" t="s">
        <v>6</v>
      </c>
      <c r="H20" s="209" t="s">
        <v>7</v>
      </c>
      <c r="I20" s="182" t="s">
        <v>8</v>
      </c>
      <c r="J20" s="182" t="s">
        <v>9</v>
      </c>
      <c r="K20" s="182" t="s">
        <v>10</v>
      </c>
      <c r="L20" s="182" t="s">
        <v>11</v>
      </c>
      <c r="M20" s="209" t="s">
        <v>12</v>
      </c>
      <c r="N20" s="182" t="s">
        <v>13</v>
      </c>
      <c r="O20" s="182" t="s">
        <v>14</v>
      </c>
      <c r="P20" s="182" t="s">
        <v>15</v>
      </c>
      <c r="Q20" s="182" t="s">
        <v>16</v>
      </c>
      <c r="R20" s="183" t="s">
        <v>17</v>
      </c>
      <c r="S20" s="184" t="s">
        <v>23</v>
      </c>
      <c r="T20" s="184" t="s">
        <v>24</v>
      </c>
      <c r="U20" s="185" t="s">
        <v>18</v>
      </c>
      <c r="V20" s="160"/>
      <c r="W20" s="168"/>
      <c r="X20" s="173" t="s">
        <v>66</v>
      </c>
      <c r="Y20" s="172">
        <v>3681.8650249999996</v>
      </c>
      <c r="Z20" s="172">
        <v>334.46890000000002</v>
      </c>
      <c r="AA20" s="172">
        <v>2627</v>
      </c>
      <c r="AB20" s="172"/>
      <c r="AC20" s="172"/>
      <c r="AD20" s="172"/>
      <c r="AE20" s="172"/>
      <c r="AF20" s="172"/>
      <c r="AG20" s="174">
        <v>818.67942564999998</v>
      </c>
      <c r="AH20" s="174">
        <v>357.27200000000005</v>
      </c>
      <c r="AI20" s="174">
        <v>1175.9514256499999</v>
      </c>
      <c r="AJ20" s="175">
        <v>0</v>
      </c>
      <c r="AK20" s="174">
        <v>815.00026774999992</v>
      </c>
      <c r="AL20" s="174">
        <v>328.375</v>
      </c>
      <c r="AM20" s="174">
        <v>1147.05442565</v>
      </c>
      <c r="AN20" s="175">
        <v>0</v>
      </c>
      <c r="AO20" s="174">
        <v>803.29385624999986</v>
      </c>
      <c r="AP20" s="174">
        <v>236.43</v>
      </c>
      <c r="AQ20" s="174">
        <v>1039.7238562499999</v>
      </c>
    </row>
    <row r="21" spans="1:66" x14ac:dyDescent="0.35">
      <c r="A21" s="154" t="s">
        <v>27</v>
      </c>
      <c r="B21" s="217">
        <v>498</v>
      </c>
      <c r="C21" s="199">
        <v>498</v>
      </c>
      <c r="D21" s="199">
        <v>498</v>
      </c>
      <c r="E21" s="199">
        <v>498</v>
      </c>
      <c r="F21" s="199">
        <v>498</v>
      </c>
      <c r="G21" s="199">
        <v>498</v>
      </c>
      <c r="H21" s="217">
        <v>498</v>
      </c>
      <c r="I21" s="199">
        <v>498</v>
      </c>
      <c r="J21" s="199">
        <v>498</v>
      </c>
      <c r="K21" s="199">
        <v>498</v>
      </c>
      <c r="L21" s="199">
        <v>498</v>
      </c>
      <c r="M21" s="217">
        <v>498</v>
      </c>
      <c r="N21" s="199">
        <v>498</v>
      </c>
      <c r="O21" s="199">
        <v>498</v>
      </c>
      <c r="P21" s="199">
        <v>498</v>
      </c>
      <c r="Q21" s="199">
        <v>498</v>
      </c>
      <c r="R21" s="199">
        <v>498</v>
      </c>
      <c r="S21" s="199">
        <v>498</v>
      </c>
      <c r="T21" s="199">
        <v>498</v>
      </c>
      <c r="U21" s="200">
        <v>9470</v>
      </c>
      <c r="V21" s="159"/>
      <c r="W21" s="168"/>
    </row>
    <row r="22" spans="1:66" x14ac:dyDescent="0.35">
      <c r="A22" s="187" t="s">
        <v>20</v>
      </c>
      <c r="B22" s="218">
        <f>B21*0.22</f>
        <v>109.56</v>
      </c>
      <c r="C22" s="201">
        <f t="shared" ref="C22:U22" si="2">C21*0.22</f>
        <v>109.56</v>
      </c>
      <c r="D22" s="201">
        <f t="shared" si="2"/>
        <v>109.56</v>
      </c>
      <c r="E22" s="201">
        <f t="shared" si="2"/>
        <v>109.56</v>
      </c>
      <c r="F22" s="201">
        <f t="shared" si="2"/>
        <v>109.56</v>
      </c>
      <c r="G22" s="201">
        <f t="shared" si="2"/>
        <v>109.56</v>
      </c>
      <c r="H22" s="218">
        <f t="shared" si="2"/>
        <v>109.56</v>
      </c>
      <c r="I22" s="201">
        <f t="shared" si="2"/>
        <v>109.56</v>
      </c>
      <c r="J22" s="201">
        <f t="shared" si="2"/>
        <v>109.56</v>
      </c>
      <c r="K22" s="201">
        <f t="shared" si="2"/>
        <v>109.56</v>
      </c>
      <c r="L22" s="201">
        <f t="shared" si="2"/>
        <v>109.56</v>
      </c>
      <c r="M22" s="218">
        <f t="shared" si="2"/>
        <v>109.56</v>
      </c>
      <c r="N22" s="201">
        <f t="shared" si="2"/>
        <v>109.56</v>
      </c>
      <c r="O22" s="201">
        <f t="shared" si="2"/>
        <v>109.56</v>
      </c>
      <c r="P22" s="201">
        <f t="shared" si="2"/>
        <v>109.56</v>
      </c>
      <c r="Q22" s="201">
        <f t="shared" si="2"/>
        <v>109.56</v>
      </c>
      <c r="R22" s="201">
        <f t="shared" si="2"/>
        <v>109.56</v>
      </c>
      <c r="S22" s="201">
        <f t="shared" si="2"/>
        <v>109.56</v>
      </c>
      <c r="T22" s="201">
        <f t="shared" si="2"/>
        <v>109.56</v>
      </c>
      <c r="U22" s="202">
        <f t="shared" si="2"/>
        <v>2083.4</v>
      </c>
      <c r="V22" s="159"/>
      <c r="W22" s="168"/>
    </row>
    <row r="23" spans="1:66" x14ac:dyDescent="0.35">
      <c r="A23" s="187" t="s">
        <v>21</v>
      </c>
      <c r="B23" s="218">
        <f>B21*0.32</f>
        <v>159.36000000000001</v>
      </c>
      <c r="C23" s="201">
        <f t="shared" ref="C23:U23" si="3">C21*0.32</f>
        <v>159.36000000000001</v>
      </c>
      <c r="D23" s="201">
        <f t="shared" si="3"/>
        <v>159.36000000000001</v>
      </c>
      <c r="E23" s="201">
        <f t="shared" si="3"/>
        <v>159.36000000000001</v>
      </c>
      <c r="F23" s="201">
        <f t="shared" si="3"/>
        <v>159.36000000000001</v>
      </c>
      <c r="G23" s="201">
        <f t="shared" si="3"/>
        <v>159.36000000000001</v>
      </c>
      <c r="H23" s="218">
        <f t="shared" si="3"/>
        <v>159.36000000000001</v>
      </c>
      <c r="I23" s="201">
        <f t="shared" si="3"/>
        <v>159.36000000000001</v>
      </c>
      <c r="J23" s="201">
        <f t="shared" si="3"/>
        <v>159.36000000000001</v>
      </c>
      <c r="K23" s="201">
        <f t="shared" si="3"/>
        <v>159.36000000000001</v>
      </c>
      <c r="L23" s="201">
        <f t="shared" si="3"/>
        <v>159.36000000000001</v>
      </c>
      <c r="M23" s="218">
        <f t="shared" si="3"/>
        <v>159.36000000000001</v>
      </c>
      <c r="N23" s="201">
        <f t="shared" si="3"/>
        <v>159.36000000000001</v>
      </c>
      <c r="O23" s="201">
        <f t="shared" si="3"/>
        <v>159.36000000000001</v>
      </c>
      <c r="P23" s="201">
        <f t="shared" si="3"/>
        <v>159.36000000000001</v>
      </c>
      <c r="Q23" s="201">
        <f t="shared" si="3"/>
        <v>159.36000000000001</v>
      </c>
      <c r="R23" s="201">
        <f t="shared" si="3"/>
        <v>159.36000000000001</v>
      </c>
      <c r="S23" s="201">
        <f t="shared" si="3"/>
        <v>159.36000000000001</v>
      </c>
      <c r="T23" s="201">
        <f t="shared" si="3"/>
        <v>159.36000000000001</v>
      </c>
      <c r="U23" s="202">
        <f t="shared" si="3"/>
        <v>3030.4</v>
      </c>
      <c r="V23" s="159"/>
      <c r="W23" s="168"/>
    </row>
    <row r="24" spans="1:66" x14ac:dyDescent="0.35">
      <c r="A24" s="187" t="s">
        <v>26</v>
      </c>
      <c r="B24" s="218">
        <f>B21*0.31</f>
        <v>154.38</v>
      </c>
      <c r="C24" s="201">
        <f t="shared" ref="C24:U24" si="4">C21*0.31</f>
        <v>154.38</v>
      </c>
      <c r="D24" s="201">
        <f t="shared" si="4"/>
        <v>154.38</v>
      </c>
      <c r="E24" s="201">
        <f t="shared" si="4"/>
        <v>154.38</v>
      </c>
      <c r="F24" s="201">
        <f t="shared" si="4"/>
        <v>154.38</v>
      </c>
      <c r="G24" s="201">
        <f t="shared" si="4"/>
        <v>154.38</v>
      </c>
      <c r="H24" s="218">
        <f t="shared" si="4"/>
        <v>154.38</v>
      </c>
      <c r="I24" s="201">
        <f t="shared" si="4"/>
        <v>154.38</v>
      </c>
      <c r="J24" s="201">
        <f t="shared" si="4"/>
        <v>154.38</v>
      </c>
      <c r="K24" s="201">
        <f t="shared" si="4"/>
        <v>154.38</v>
      </c>
      <c r="L24" s="201">
        <f t="shared" si="4"/>
        <v>154.38</v>
      </c>
      <c r="M24" s="218">
        <f t="shared" si="4"/>
        <v>154.38</v>
      </c>
      <c r="N24" s="201">
        <f t="shared" si="4"/>
        <v>154.38</v>
      </c>
      <c r="O24" s="201">
        <f t="shared" si="4"/>
        <v>154.38</v>
      </c>
      <c r="P24" s="201">
        <f t="shared" si="4"/>
        <v>154.38</v>
      </c>
      <c r="Q24" s="201">
        <f t="shared" si="4"/>
        <v>154.38</v>
      </c>
      <c r="R24" s="201">
        <f t="shared" si="4"/>
        <v>154.38</v>
      </c>
      <c r="S24" s="201">
        <f t="shared" si="4"/>
        <v>154.38</v>
      </c>
      <c r="T24" s="201">
        <f t="shared" si="4"/>
        <v>154.38</v>
      </c>
      <c r="U24" s="202">
        <f t="shared" si="4"/>
        <v>2935.7</v>
      </c>
      <c r="V24" s="167"/>
      <c r="W24" s="168"/>
    </row>
    <row r="25" spans="1:66" s="80" customFormat="1" ht="15" customHeight="1" thickBot="1" x14ac:dyDescent="0.4">
      <c r="A25" s="190" t="s">
        <v>22</v>
      </c>
      <c r="B25" s="218">
        <f>B21*0.15</f>
        <v>74.7</v>
      </c>
      <c r="C25" s="201">
        <f t="shared" ref="C25:U25" si="5">C21*0.15</f>
        <v>74.7</v>
      </c>
      <c r="D25" s="201">
        <f t="shared" si="5"/>
        <v>74.7</v>
      </c>
      <c r="E25" s="201">
        <f t="shared" si="5"/>
        <v>74.7</v>
      </c>
      <c r="F25" s="201">
        <f t="shared" si="5"/>
        <v>74.7</v>
      </c>
      <c r="G25" s="201">
        <f t="shared" si="5"/>
        <v>74.7</v>
      </c>
      <c r="H25" s="218">
        <f t="shared" si="5"/>
        <v>74.7</v>
      </c>
      <c r="I25" s="201">
        <f t="shared" si="5"/>
        <v>74.7</v>
      </c>
      <c r="J25" s="201">
        <f t="shared" si="5"/>
        <v>74.7</v>
      </c>
      <c r="K25" s="201">
        <f t="shared" si="5"/>
        <v>74.7</v>
      </c>
      <c r="L25" s="201">
        <f t="shared" si="5"/>
        <v>74.7</v>
      </c>
      <c r="M25" s="218">
        <f t="shared" si="5"/>
        <v>74.7</v>
      </c>
      <c r="N25" s="201">
        <f t="shared" si="5"/>
        <v>74.7</v>
      </c>
      <c r="O25" s="201">
        <f t="shared" si="5"/>
        <v>74.7</v>
      </c>
      <c r="P25" s="201">
        <f t="shared" si="5"/>
        <v>74.7</v>
      </c>
      <c r="Q25" s="201">
        <f t="shared" si="5"/>
        <v>74.7</v>
      </c>
      <c r="R25" s="201">
        <f t="shared" si="5"/>
        <v>74.7</v>
      </c>
      <c r="S25" s="201">
        <f t="shared" si="5"/>
        <v>74.7</v>
      </c>
      <c r="T25" s="201">
        <f t="shared" si="5"/>
        <v>74.7</v>
      </c>
      <c r="U25" s="202">
        <f t="shared" si="5"/>
        <v>1420.5</v>
      </c>
      <c r="V25" s="159"/>
      <c r="W25" s="168"/>
      <c r="X25" s="344" t="s">
        <v>107</v>
      </c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/>
      <c r="AJ25" s="171"/>
      <c r="AK25" s="344" t="s">
        <v>107</v>
      </c>
      <c r="AL25" s="344"/>
      <c r="AM25" s="344"/>
      <c r="AN25" s="171"/>
      <c r="AO25" s="345" t="s">
        <v>107</v>
      </c>
      <c r="AP25" s="345"/>
      <c r="AQ25" s="345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</row>
    <row r="26" spans="1:66" ht="15.75" customHeight="1" thickBot="1" x14ac:dyDescent="0.4">
      <c r="A26" s="179"/>
      <c r="B26" s="212"/>
      <c r="C26" s="179"/>
      <c r="D26" s="179"/>
      <c r="E26" s="179"/>
      <c r="F26" s="179"/>
      <c r="G26" s="179"/>
      <c r="H26" s="212"/>
      <c r="I26" s="179"/>
      <c r="J26" s="179"/>
      <c r="K26" s="179"/>
      <c r="L26" s="179"/>
      <c r="M26" s="212"/>
      <c r="N26" s="179"/>
      <c r="O26" s="179"/>
      <c r="P26" s="179"/>
      <c r="Q26" s="179"/>
      <c r="R26" s="179"/>
      <c r="S26" s="179"/>
      <c r="T26" s="179"/>
      <c r="U26" s="179"/>
      <c r="V26" s="161"/>
      <c r="W26" s="168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171"/>
      <c r="AK26" s="344"/>
      <c r="AL26" s="344"/>
      <c r="AM26" s="344"/>
      <c r="AN26" s="171"/>
      <c r="AO26" s="345"/>
      <c r="AP26" s="345"/>
      <c r="AQ26" s="345"/>
    </row>
    <row r="27" spans="1:66" s="78" customFormat="1" ht="15.75" customHeight="1" x14ac:dyDescent="0.35">
      <c r="A27" s="191" t="s">
        <v>55</v>
      </c>
      <c r="B27" s="213"/>
      <c r="C27" s="192"/>
      <c r="D27" s="192"/>
      <c r="E27" s="192"/>
      <c r="F27" s="192"/>
      <c r="G27" s="192"/>
      <c r="H27" s="213"/>
      <c r="I27" s="192"/>
      <c r="J27" s="192"/>
      <c r="K27" s="192"/>
      <c r="L27" s="192"/>
      <c r="M27" s="213"/>
      <c r="N27" s="192"/>
      <c r="O27" s="192"/>
      <c r="P27" s="192"/>
      <c r="Q27" s="192"/>
      <c r="R27" s="192"/>
      <c r="S27" s="192"/>
      <c r="T27" s="192"/>
      <c r="U27" s="192"/>
      <c r="V27" s="162"/>
      <c r="W27" s="168"/>
      <c r="X27" s="173" t="s">
        <v>70</v>
      </c>
      <c r="Y27" s="172"/>
      <c r="Z27" s="172"/>
      <c r="AA27" s="172"/>
      <c r="AB27" s="172"/>
      <c r="AC27" s="172"/>
      <c r="AD27" s="172"/>
      <c r="AE27" s="172"/>
      <c r="AF27" s="172"/>
      <c r="AG27" s="174">
        <f>AG17-(AG17*0.19)</f>
        <v>1376.3558267640001</v>
      </c>
      <c r="AH27" s="174"/>
      <c r="AI27" s="174"/>
      <c r="AJ27" s="175"/>
      <c r="AK27" s="174">
        <f>AK17-(AK17*0.19)</f>
        <v>1371.7447199999999</v>
      </c>
      <c r="AL27" s="174"/>
      <c r="AM27" s="174"/>
      <c r="AN27" s="175"/>
      <c r="AO27" s="174">
        <f>AO17-(AO17*0.19)</f>
        <v>1357.0730166599999</v>
      </c>
      <c r="AP27" s="174"/>
      <c r="AQ27" s="174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</row>
    <row r="28" spans="1:66" s="77" customFormat="1" x14ac:dyDescent="0.35">
      <c r="A28" s="193" t="s">
        <v>112</v>
      </c>
      <c r="B28" s="214">
        <f>(30*(B22*$AH$17)+(B23*$AH$18)+(B24*$AH$19)+(B25*$AH$20))+'reference data- 2'!B27</f>
        <v>3975651.0713701099</v>
      </c>
      <c r="C28" s="214">
        <f>(30*(C22*$AH$17)+(C23*$AH$18)+(C24*$AH$19)+(C25*$AH$20))+'reference data- 2'!C27</f>
        <v>3975651.0713701099</v>
      </c>
      <c r="D28" s="214">
        <f>(30*(D22*$AH$17)+(D23*$AH$18)+(D24*$AH$19)+(D25*$AH$20))+'reference data- 2'!D27</f>
        <v>3975651.0713701099</v>
      </c>
      <c r="E28" s="214">
        <f>(30*(E22*$AH$17)+(E23*$AH$18)+(E24*$AH$19)+(E25*$AH$20))+'reference data- 2'!E27</f>
        <v>3975651.0713701099</v>
      </c>
      <c r="F28" s="214">
        <f>(30*(F22*$AH$17)+(F23*$AH$18)+(F24*$AH$19)+(F25*$AH$20))+'reference data- 2'!F27</f>
        <v>3975651.0713701099</v>
      </c>
      <c r="G28" s="214">
        <f>(30*(G22*$AH$17)+(G23*$AH$18)+(G24*$AH$19)+(G25*$AH$20))+'reference data- 2'!G27</f>
        <v>3975651.0713701099</v>
      </c>
      <c r="H28" s="214">
        <f>(30*(H22*$AL$17)+(H23*$AL$18)+(H24*$AL$19)+(H25*$AL$20))+'reference data- 2'!H27</f>
        <v>3805732.1404884858</v>
      </c>
      <c r="I28" s="214">
        <f>(30*(I22*$AL$17)+(I23*$AL$18)+(I24*$AL$19)+(I25*$AL$20))+'reference data- 2'!I27</f>
        <v>3805732.1404884858</v>
      </c>
      <c r="J28" s="214">
        <f>(30*(J22*$AL$17)+(J23*$AL$18)+(J24*$AL$19)+(J25*$AL$20))+'reference data- 2'!J27</f>
        <v>3805732.1404884858</v>
      </c>
      <c r="K28" s="214">
        <f>(30*(K22*$AL$17)+(K23*$AL$18)+(K24*$AL$19)+(K25*$AL$20))+'reference data- 2'!K27</f>
        <v>3805732.1404884858</v>
      </c>
      <c r="L28" s="214">
        <f>(30*(L22*$AL$17)+(L23*$AL$18)+(L24*$AL$19)+(L25*$AL$20))+'reference data- 2'!L27</f>
        <v>3805732.1404884858</v>
      </c>
      <c r="M28" s="214">
        <f>(30*(M22*$AP$17)+(M23*$AP$18)+(M24*$AP$19)+(M25*$AP$20))+'reference data- 2'!M27</f>
        <v>3265080.9967742283</v>
      </c>
      <c r="N28" s="214">
        <f>(30*(N22*$AP$17)+(N23*$AP$18)+(N24*$AP$19)+(N25*$AP$20))+'reference data- 2'!N27</f>
        <v>3265080.9967742283</v>
      </c>
      <c r="O28" s="214">
        <f>(30*(O22*$AP$17)+(O23*$AP$18)+(O24*$AP$19)+(O25*$AP$20))+'reference data- 2'!O27</f>
        <v>3265080.9967742283</v>
      </c>
      <c r="P28" s="214">
        <f>(30*(P22*$AP$17)+(P23*$AP$18)+(P24*$AP$19)+(P25*$AP$20))+'reference data- 2'!P27</f>
        <v>3265080.9967742283</v>
      </c>
      <c r="Q28" s="214">
        <f>(30*(Q22*$AP$17)+(Q23*$AP$18)+(Q24*$AP$19)+(Q25*$AP$20))+'reference data- 2'!Q27</f>
        <v>3265080.9967742283</v>
      </c>
      <c r="R28" s="214">
        <f>(30*(R22*$AP$17)+(R23*$AP$18)+(R24*$AP$19)+(R25*$AP$20))+'reference data- 2'!R27</f>
        <v>3265080.9967742283</v>
      </c>
      <c r="S28" s="214">
        <f>(30*(S22*$AP$17)+(S23*$AP$18)+(S24*$AP$19)+(S25*$AP$20))+'reference data- 2'!S27</f>
        <v>3265080.9967742283</v>
      </c>
      <c r="T28" s="214">
        <f>(30*(T22*$AP$17)+(T23*$AP$18)+(T24*$AP$19)+(T25*$AP$20))+'reference data- 2'!T27</f>
        <v>3265080.9967742283</v>
      </c>
      <c r="U28" s="194">
        <f>SUM(B28:T28)</f>
        <v>69003215.104856893</v>
      </c>
      <c r="V28" s="163"/>
      <c r="W28" s="168"/>
      <c r="X28" s="173" t="s">
        <v>69</v>
      </c>
      <c r="Y28" s="172"/>
      <c r="Z28" s="172"/>
      <c r="AA28" s="172"/>
      <c r="AB28" s="172"/>
      <c r="AC28" s="172"/>
      <c r="AD28" s="172"/>
      <c r="AE28" s="172"/>
      <c r="AF28" s="172"/>
      <c r="AG28" s="174">
        <f t="shared" ref="AG28:AG30" si="6">AG18-(AG18*0.19)</f>
        <v>1044.0559800000001</v>
      </c>
      <c r="AH28" s="174"/>
      <c r="AI28" s="174"/>
      <c r="AJ28" s="175"/>
      <c r="AK28" s="174">
        <f>AK18-(AK18*0.19)</f>
        <v>1040.1088500000001</v>
      </c>
      <c r="AL28" s="174"/>
      <c r="AM28" s="174"/>
      <c r="AN28" s="175"/>
      <c r="AO28" s="174">
        <f t="shared" ref="AO28:AO30" si="7">AO18-(AO18*0.19)</f>
        <v>1027.5498</v>
      </c>
      <c r="AP28" s="174"/>
      <c r="AQ28" s="174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8"/>
      <c r="BN28" s="168"/>
    </row>
    <row r="29" spans="1:66" s="77" customFormat="1" x14ac:dyDescent="0.35">
      <c r="A29" s="193" t="s">
        <v>113</v>
      </c>
      <c r="B29" s="214">
        <f>B28/1000</f>
        <v>3975.65107137011</v>
      </c>
      <c r="C29" s="214">
        <f t="shared" ref="C29" si="8">C28/1000</f>
        <v>3975.65107137011</v>
      </c>
      <c r="D29" s="214">
        <f t="shared" ref="D29" si="9">D28/1000</f>
        <v>3975.65107137011</v>
      </c>
      <c r="E29" s="214">
        <f t="shared" ref="E29" si="10">E28/1000</f>
        <v>3975.65107137011</v>
      </c>
      <c r="F29" s="214">
        <f t="shared" ref="F29" si="11">F28/1000</f>
        <v>3975.65107137011</v>
      </c>
      <c r="G29" s="214">
        <f t="shared" ref="G29" si="12">G28/1000</f>
        <v>3975.65107137011</v>
      </c>
      <c r="H29" s="214">
        <f t="shared" ref="H29" si="13">H28/1000</f>
        <v>3805.7321404884856</v>
      </c>
      <c r="I29" s="214">
        <f t="shared" ref="I29" si="14">I28/1000</f>
        <v>3805.7321404884856</v>
      </c>
      <c r="J29" s="214">
        <f t="shared" ref="J29" si="15">J28/1000</f>
        <v>3805.7321404884856</v>
      </c>
      <c r="K29" s="214">
        <f t="shared" ref="K29" si="16">K28/1000</f>
        <v>3805.7321404884856</v>
      </c>
      <c r="L29" s="214">
        <f t="shared" ref="L29" si="17">L28/1000</f>
        <v>3805.7321404884856</v>
      </c>
      <c r="M29" s="214">
        <f t="shared" ref="M29" si="18">M28/1000</f>
        <v>3265.0809967742284</v>
      </c>
      <c r="N29" s="214">
        <f t="shared" ref="N29" si="19">N28/1000</f>
        <v>3265.0809967742284</v>
      </c>
      <c r="O29" s="214">
        <f t="shared" ref="O29" si="20">O28/1000</f>
        <v>3265.0809967742284</v>
      </c>
      <c r="P29" s="214">
        <f t="shared" ref="P29" si="21">P28/1000</f>
        <v>3265.0809967742284</v>
      </c>
      <c r="Q29" s="214">
        <f t="shared" ref="Q29" si="22">Q28/1000</f>
        <v>3265.0809967742284</v>
      </c>
      <c r="R29" s="214">
        <f t="shared" ref="R29" si="23">R28/1000</f>
        <v>3265.0809967742284</v>
      </c>
      <c r="S29" s="214">
        <f t="shared" ref="S29" si="24">S28/1000</f>
        <v>3265.0809967742284</v>
      </c>
      <c r="T29" s="214">
        <f t="shared" ref="T29" si="25">T28/1000</f>
        <v>3265.0809967742284</v>
      </c>
      <c r="U29" s="214">
        <f t="shared" ref="U29" si="26">U28/1000</f>
        <v>69003.215104856892</v>
      </c>
      <c r="V29" s="162"/>
      <c r="W29" s="168"/>
      <c r="X29" s="173" t="s">
        <v>65</v>
      </c>
      <c r="Y29" s="172"/>
      <c r="Z29" s="172"/>
      <c r="AA29" s="172"/>
      <c r="AB29" s="172"/>
      <c r="AC29" s="172"/>
      <c r="AD29" s="172"/>
      <c r="AE29" s="172"/>
      <c r="AF29" s="172"/>
      <c r="AG29" s="174">
        <f t="shared" si="6"/>
        <v>1140.7746486779999</v>
      </c>
      <c r="AH29" s="174"/>
      <c r="AI29" s="174"/>
      <c r="AJ29" s="175"/>
      <c r="AK29" s="174">
        <f t="shared" ref="AK29:AK30" si="27">AK19-(AK19*0.19)</f>
        <v>1136.6177879700001</v>
      </c>
      <c r="AL29" s="174"/>
      <c r="AM29" s="174"/>
      <c r="AN29" s="175"/>
      <c r="AO29" s="174">
        <f t="shared" si="7"/>
        <v>1123.3914129899999</v>
      </c>
      <c r="AP29" s="174"/>
      <c r="AQ29" s="174"/>
      <c r="AR29" s="168"/>
      <c r="AS29" s="168"/>
      <c r="AT29" s="168"/>
      <c r="AU29" s="168"/>
      <c r="AV29" s="16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8"/>
      <c r="BH29" s="168"/>
      <c r="BI29" s="168"/>
      <c r="BJ29" s="168"/>
      <c r="BK29" s="168"/>
      <c r="BL29" s="168"/>
      <c r="BM29" s="168"/>
      <c r="BN29" s="168"/>
    </row>
    <row r="30" spans="1:66" s="77" customFormat="1" ht="15" thickBot="1" x14ac:dyDescent="0.4">
      <c r="A30" s="193" t="s">
        <v>64</v>
      </c>
      <c r="B30" s="215">
        <f>B29*144</f>
        <v>572493.7542772959</v>
      </c>
      <c r="C30" s="215">
        <f t="shared" ref="C30:U30" si="28">C29*144</f>
        <v>572493.7542772959</v>
      </c>
      <c r="D30" s="215">
        <f t="shared" si="28"/>
        <v>572493.7542772959</v>
      </c>
      <c r="E30" s="215">
        <f t="shared" si="28"/>
        <v>572493.7542772959</v>
      </c>
      <c r="F30" s="215">
        <f t="shared" si="28"/>
        <v>572493.7542772959</v>
      </c>
      <c r="G30" s="215">
        <f t="shared" si="28"/>
        <v>572493.7542772959</v>
      </c>
      <c r="H30" s="215">
        <f t="shared" si="28"/>
        <v>548025.42823034187</v>
      </c>
      <c r="I30" s="215">
        <f t="shared" si="28"/>
        <v>548025.42823034187</v>
      </c>
      <c r="J30" s="215">
        <f t="shared" si="28"/>
        <v>548025.42823034187</v>
      </c>
      <c r="K30" s="215">
        <f t="shared" si="28"/>
        <v>548025.42823034187</v>
      </c>
      <c r="L30" s="215">
        <f t="shared" si="28"/>
        <v>548025.42823034187</v>
      </c>
      <c r="M30" s="215">
        <f t="shared" si="28"/>
        <v>470171.66353548889</v>
      </c>
      <c r="N30" s="215">
        <f t="shared" si="28"/>
        <v>470171.66353548889</v>
      </c>
      <c r="O30" s="215">
        <f t="shared" si="28"/>
        <v>470171.66353548889</v>
      </c>
      <c r="P30" s="215">
        <f t="shared" si="28"/>
        <v>470171.66353548889</v>
      </c>
      <c r="Q30" s="215">
        <f t="shared" si="28"/>
        <v>470171.66353548889</v>
      </c>
      <c r="R30" s="215">
        <f t="shared" si="28"/>
        <v>470171.66353548889</v>
      </c>
      <c r="S30" s="215">
        <f t="shared" si="28"/>
        <v>470171.66353548889</v>
      </c>
      <c r="T30" s="215">
        <f t="shared" si="28"/>
        <v>470171.66353548889</v>
      </c>
      <c r="U30" s="215">
        <f t="shared" si="28"/>
        <v>9936462.9750993922</v>
      </c>
      <c r="V30" s="164"/>
      <c r="W30" s="168"/>
      <c r="X30" s="173" t="s">
        <v>66</v>
      </c>
      <c r="Y30" s="172"/>
      <c r="Z30" s="172"/>
      <c r="AA30" s="172"/>
      <c r="AB30" s="172"/>
      <c r="AC30" s="172"/>
      <c r="AD30" s="172"/>
      <c r="AE30" s="172"/>
      <c r="AF30" s="172"/>
      <c r="AG30" s="174">
        <f t="shared" si="6"/>
        <v>663.13033477649992</v>
      </c>
      <c r="AH30" s="174"/>
      <c r="AI30" s="174"/>
      <c r="AJ30" s="175"/>
      <c r="AK30" s="174">
        <f t="shared" si="27"/>
        <v>660.15021687749993</v>
      </c>
      <c r="AL30" s="174"/>
      <c r="AM30" s="174"/>
      <c r="AN30" s="175"/>
      <c r="AO30" s="174">
        <f t="shared" si="7"/>
        <v>650.66802356249991</v>
      </c>
      <c r="AP30" s="174"/>
      <c r="AQ30" s="174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</row>
    <row r="31" spans="1:66" s="79" customFormat="1" ht="15" thickBot="1" x14ac:dyDescent="0.4">
      <c r="A31" s="193"/>
      <c r="B31" s="213"/>
      <c r="C31" s="196"/>
      <c r="D31" s="194"/>
      <c r="E31" s="194"/>
      <c r="F31" s="194"/>
      <c r="G31" s="194"/>
      <c r="H31" s="214"/>
      <c r="I31" s="194"/>
      <c r="J31" s="194"/>
      <c r="K31" s="194"/>
      <c r="L31" s="194"/>
      <c r="M31" s="214"/>
      <c r="N31" s="194"/>
      <c r="O31" s="194"/>
      <c r="P31" s="194"/>
      <c r="Q31" s="194"/>
      <c r="R31" s="194"/>
      <c r="S31" s="194"/>
      <c r="T31" s="194"/>
      <c r="U31" s="194"/>
      <c r="V31" s="159"/>
      <c r="W31" s="168"/>
      <c r="X31" s="173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83"/>
      <c r="AK31" s="174"/>
      <c r="AL31" s="172"/>
      <c r="AM31" s="172"/>
      <c r="AN31" s="83"/>
      <c r="AO31" s="174"/>
      <c r="AP31" s="172"/>
      <c r="AQ31" s="172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</row>
    <row r="32" spans="1:66" ht="15" thickBot="1" x14ac:dyDescent="0.4">
      <c r="A32" s="197"/>
      <c r="B32" s="216"/>
      <c r="C32" s="198"/>
      <c r="D32" s="198"/>
      <c r="E32" s="198"/>
      <c r="F32" s="198"/>
      <c r="G32" s="198"/>
      <c r="H32" s="216"/>
      <c r="I32" s="198"/>
      <c r="J32" s="198"/>
      <c r="K32" s="198"/>
      <c r="L32" s="198"/>
      <c r="M32" s="216"/>
      <c r="N32" s="198"/>
      <c r="O32" s="198"/>
      <c r="P32" s="198"/>
      <c r="Q32" s="198"/>
      <c r="R32" s="198"/>
      <c r="S32" s="198"/>
      <c r="T32" s="198"/>
      <c r="U32" s="198"/>
      <c r="V32" s="159"/>
      <c r="W32" s="168"/>
      <c r="X32" s="173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83"/>
      <c r="AK32" s="172"/>
      <c r="AL32" s="172"/>
      <c r="AM32" s="172"/>
      <c r="AN32" s="83"/>
      <c r="AO32" s="172"/>
      <c r="AP32" s="172"/>
      <c r="AQ32" s="172"/>
    </row>
    <row r="33" spans="1:66" x14ac:dyDescent="0.35">
      <c r="A33" s="187"/>
      <c r="B33" s="212"/>
      <c r="C33" s="179"/>
      <c r="D33" s="179"/>
      <c r="E33" s="179"/>
      <c r="F33" s="179"/>
      <c r="G33" s="179"/>
      <c r="H33" s="212"/>
      <c r="I33" s="179"/>
      <c r="J33" s="179"/>
      <c r="K33" s="179"/>
      <c r="L33" s="179"/>
      <c r="M33" s="212"/>
      <c r="N33" s="179"/>
      <c r="O33" s="179"/>
      <c r="P33" s="179"/>
      <c r="Q33" s="179"/>
      <c r="R33" s="179"/>
      <c r="S33" s="179"/>
      <c r="T33" s="179"/>
      <c r="U33" s="179"/>
      <c r="V33" s="159"/>
      <c r="W33" s="168"/>
      <c r="X33" s="158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83"/>
      <c r="AK33" s="172"/>
      <c r="AL33" s="172"/>
      <c r="AM33" s="172"/>
      <c r="AN33" s="83"/>
      <c r="AO33" s="172"/>
      <c r="AP33" s="172"/>
      <c r="AQ33" s="172"/>
    </row>
    <row r="34" spans="1:66" x14ac:dyDescent="0.35">
      <c r="A34" s="187"/>
      <c r="B34" s="212"/>
      <c r="C34" s="179"/>
      <c r="D34" s="179"/>
      <c r="E34" s="179"/>
      <c r="F34" s="179"/>
      <c r="G34" s="179"/>
      <c r="H34" s="212"/>
      <c r="I34" s="179"/>
      <c r="J34" s="179"/>
      <c r="K34" s="179"/>
      <c r="L34" s="179"/>
      <c r="M34" s="212"/>
      <c r="N34" s="179"/>
      <c r="O34" s="179"/>
      <c r="P34" s="179"/>
      <c r="Q34" s="179"/>
      <c r="R34" s="179"/>
      <c r="S34" s="179"/>
      <c r="T34" s="179"/>
      <c r="U34" s="179"/>
      <c r="V34" s="160"/>
      <c r="W34" s="168"/>
    </row>
    <row r="35" spans="1:66" x14ac:dyDescent="0.35">
      <c r="A35" s="180" t="s">
        <v>0</v>
      </c>
      <c r="B35" s="209" t="s">
        <v>1</v>
      </c>
      <c r="C35" s="181" t="s">
        <v>2</v>
      </c>
      <c r="D35" s="182" t="s">
        <v>3</v>
      </c>
      <c r="E35" s="182" t="s">
        <v>4</v>
      </c>
      <c r="F35" s="182" t="s">
        <v>5</v>
      </c>
      <c r="G35" s="182" t="s">
        <v>6</v>
      </c>
      <c r="H35" s="209" t="s">
        <v>7</v>
      </c>
      <c r="I35" s="182" t="s">
        <v>8</v>
      </c>
      <c r="J35" s="182" t="s">
        <v>9</v>
      </c>
      <c r="K35" s="182" t="s">
        <v>10</v>
      </c>
      <c r="L35" s="182" t="s">
        <v>11</v>
      </c>
      <c r="M35" s="209" t="s">
        <v>12</v>
      </c>
      <c r="N35" s="182" t="s">
        <v>13</v>
      </c>
      <c r="O35" s="182" t="s">
        <v>14</v>
      </c>
      <c r="P35" s="182" t="s">
        <v>15</v>
      </c>
      <c r="Q35" s="182" t="s">
        <v>16</v>
      </c>
      <c r="R35" s="183" t="s">
        <v>17</v>
      </c>
      <c r="S35" s="184" t="s">
        <v>23</v>
      </c>
      <c r="T35" s="184" t="s">
        <v>24</v>
      </c>
      <c r="U35" s="185" t="s">
        <v>18</v>
      </c>
      <c r="V35" s="159"/>
      <c r="W35" s="168"/>
    </row>
    <row r="36" spans="1:66" x14ac:dyDescent="0.35">
      <c r="A36" s="154" t="s">
        <v>53</v>
      </c>
      <c r="B36" s="217">
        <v>2870</v>
      </c>
      <c r="C36" s="199">
        <v>2870</v>
      </c>
      <c r="D36" s="199">
        <v>2870</v>
      </c>
      <c r="E36" s="199">
        <v>2870</v>
      </c>
      <c r="F36" s="199">
        <v>2870</v>
      </c>
      <c r="G36" s="199">
        <v>2870</v>
      </c>
      <c r="H36" s="217">
        <v>2870</v>
      </c>
      <c r="I36" s="199">
        <v>2870</v>
      </c>
      <c r="J36" s="199">
        <v>2870</v>
      </c>
      <c r="K36" s="199">
        <v>2870</v>
      </c>
      <c r="L36" s="199">
        <v>2870</v>
      </c>
      <c r="M36" s="217">
        <v>2870</v>
      </c>
      <c r="N36" s="199">
        <v>2870</v>
      </c>
      <c r="O36" s="199">
        <v>2870</v>
      </c>
      <c r="P36" s="199">
        <v>2870</v>
      </c>
      <c r="Q36" s="199">
        <v>2870</v>
      </c>
      <c r="R36" s="199">
        <v>2870</v>
      </c>
      <c r="S36" s="199">
        <v>2870</v>
      </c>
      <c r="T36" s="199">
        <v>2870</v>
      </c>
      <c r="U36" s="200">
        <v>54530</v>
      </c>
      <c r="V36" s="159"/>
      <c r="W36" s="168"/>
    </row>
    <row r="37" spans="1:66" x14ac:dyDescent="0.35">
      <c r="A37" s="187" t="s">
        <v>20</v>
      </c>
      <c r="B37" s="218">
        <f>B36*0.04</f>
        <v>114.8</v>
      </c>
      <c r="C37" s="201">
        <f t="shared" ref="C37:U37" si="29">C36*0.04</f>
        <v>114.8</v>
      </c>
      <c r="D37" s="201">
        <f t="shared" si="29"/>
        <v>114.8</v>
      </c>
      <c r="E37" s="201">
        <f t="shared" si="29"/>
        <v>114.8</v>
      </c>
      <c r="F37" s="201">
        <f t="shared" si="29"/>
        <v>114.8</v>
      </c>
      <c r="G37" s="201">
        <f t="shared" si="29"/>
        <v>114.8</v>
      </c>
      <c r="H37" s="218">
        <f t="shared" si="29"/>
        <v>114.8</v>
      </c>
      <c r="I37" s="201">
        <f t="shared" si="29"/>
        <v>114.8</v>
      </c>
      <c r="J37" s="201">
        <f t="shared" si="29"/>
        <v>114.8</v>
      </c>
      <c r="K37" s="201">
        <f t="shared" si="29"/>
        <v>114.8</v>
      </c>
      <c r="L37" s="201">
        <f t="shared" si="29"/>
        <v>114.8</v>
      </c>
      <c r="M37" s="218">
        <f t="shared" si="29"/>
        <v>114.8</v>
      </c>
      <c r="N37" s="201">
        <f t="shared" si="29"/>
        <v>114.8</v>
      </c>
      <c r="O37" s="201">
        <f t="shared" si="29"/>
        <v>114.8</v>
      </c>
      <c r="P37" s="201">
        <f t="shared" si="29"/>
        <v>114.8</v>
      </c>
      <c r="Q37" s="201">
        <f t="shared" si="29"/>
        <v>114.8</v>
      </c>
      <c r="R37" s="201">
        <f t="shared" si="29"/>
        <v>114.8</v>
      </c>
      <c r="S37" s="201">
        <f t="shared" si="29"/>
        <v>114.8</v>
      </c>
      <c r="T37" s="201">
        <f t="shared" si="29"/>
        <v>114.8</v>
      </c>
      <c r="U37" s="202">
        <f t="shared" si="29"/>
        <v>2181.1999999999998</v>
      </c>
      <c r="V37" s="159"/>
      <c r="W37" s="168"/>
    </row>
    <row r="38" spans="1:66" x14ac:dyDescent="0.35">
      <c r="A38" s="187" t="s">
        <v>21</v>
      </c>
      <c r="B38" s="218">
        <f>B36*0.24</f>
        <v>688.8</v>
      </c>
      <c r="C38" s="201">
        <f t="shared" ref="C38:U38" si="30">C36*0.24</f>
        <v>688.8</v>
      </c>
      <c r="D38" s="201">
        <f t="shared" si="30"/>
        <v>688.8</v>
      </c>
      <c r="E38" s="201">
        <f t="shared" si="30"/>
        <v>688.8</v>
      </c>
      <c r="F38" s="201">
        <f t="shared" si="30"/>
        <v>688.8</v>
      </c>
      <c r="G38" s="201">
        <f t="shared" si="30"/>
        <v>688.8</v>
      </c>
      <c r="H38" s="218">
        <f t="shared" si="30"/>
        <v>688.8</v>
      </c>
      <c r="I38" s="201">
        <f t="shared" si="30"/>
        <v>688.8</v>
      </c>
      <c r="J38" s="201">
        <f t="shared" si="30"/>
        <v>688.8</v>
      </c>
      <c r="K38" s="201">
        <f t="shared" si="30"/>
        <v>688.8</v>
      </c>
      <c r="L38" s="201">
        <f t="shared" si="30"/>
        <v>688.8</v>
      </c>
      <c r="M38" s="218">
        <f t="shared" si="30"/>
        <v>688.8</v>
      </c>
      <c r="N38" s="201">
        <f t="shared" si="30"/>
        <v>688.8</v>
      </c>
      <c r="O38" s="201">
        <f t="shared" si="30"/>
        <v>688.8</v>
      </c>
      <c r="P38" s="201">
        <f t="shared" si="30"/>
        <v>688.8</v>
      </c>
      <c r="Q38" s="201">
        <f t="shared" si="30"/>
        <v>688.8</v>
      </c>
      <c r="R38" s="201">
        <f t="shared" si="30"/>
        <v>688.8</v>
      </c>
      <c r="S38" s="201">
        <f t="shared" si="30"/>
        <v>688.8</v>
      </c>
      <c r="T38" s="201">
        <f t="shared" si="30"/>
        <v>688.8</v>
      </c>
      <c r="U38" s="202">
        <f t="shared" si="30"/>
        <v>13087.199999999999</v>
      </c>
      <c r="V38" s="167"/>
      <c r="W38" s="168"/>
    </row>
    <row r="39" spans="1:66" s="80" customFormat="1" ht="15" thickBot="1" x14ac:dyDescent="0.4">
      <c r="A39" s="187" t="s">
        <v>26</v>
      </c>
      <c r="B39" s="218">
        <f>B36*0.35</f>
        <v>1004.4999999999999</v>
      </c>
      <c r="C39" s="201">
        <f t="shared" ref="C39:U39" si="31">C36*0.35</f>
        <v>1004.4999999999999</v>
      </c>
      <c r="D39" s="201">
        <f t="shared" si="31"/>
        <v>1004.4999999999999</v>
      </c>
      <c r="E39" s="201">
        <f t="shared" si="31"/>
        <v>1004.4999999999999</v>
      </c>
      <c r="F39" s="201">
        <f t="shared" si="31"/>
        <v>1004.4999999999999</v>
      </c>
      <c r="G39" s="201">
        <f t="shared" si="31"/>
        <v>1004.4999999999999</v>
      </c>
      <c r="H39" s="218">
        <f t="shared" si="31"/>
        <v>1004.4999999999999</v>
      </c>
      <c r="I39" s="201">
        <f t="shared" si="31"/>
        <v>1004.4999999999999</v>
      </c>
      <c r="J39" s="201">
        <f t="shared" si="31"/>
        <v>1004.4999999999999</v>
      </c>
      <c r="K39" s="201">
        <f t="shared" si="31"/>
        <v>1004.4999999999999</v>
      </c>
      <c r="L39" s="201">
        <f t="shared" si="31"/>
        <v>1004.4999999999999</v>
      </c>
      <c r="M39" s="218">
        <f t="shared" si="31"/>
        <v>1004.4999999999999</v>
      </c>
      <c r="N39" s="201">
        <f t="shared" si="31"/>
        <v>1004.4999999999999</v>
      </c>
      <c r="O39" s="201">
        <f t="shared" si="31"/>
        <v>1004.4999999999999</v>
      </c>
      <c r="P39" s="201">
        <f t="shared" si="31"/>
        <v>1004.4999999999999</v>
      </c>
      <c r="Q39" s="201">
        <f t="shared" si="31"/>
        <v>1004.4999999999999</v>
      </c>
      <c r="R39" s="201">
        <f t="shared" si="31"/>
        <v>1004.4999999999999</v>
      </c>
      <c r="S39" s="201">
        <f t="shared" si="31"/>
        <v>1004.4999999999999</v>
      </c>
      <c r="T39" s="201">
        <f t="shared" si="31"/>
        <v>1004.4999999999999</v>
      </c>
      <c r="U39" s="202">
        <f t="shared" si="31"/>
        <v>19085.5</v>
      </c>
      <c r="V39" s="159"/>
      <c r="W39" s="168"/>
      <c r="X39" s="147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51"/>
      <c r="AK39" s="168"/>
      <c r="AL39" s="168"/>
      <c r="AM39" s="168"/>
      <c r="AN39" s="151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68"/>
      <c r="BJ39" s="168"/>
      <c r="BK39" s="168"/>
      <c r="BL39" s="168"/>
      <c r="BM39" s="168"/>
      <c r="BN39" s="168"/>
    </row>
    <row r="40" spans="1:66" ht="15" thickBot="1" x14ac:dyDescent="0.4">
      <c r="A40" s="190" t="s">
        <v>22</v>
      </c>
      <c r="B40" s="218">
        <f>B36*0.37</f>
        <v>1061.9000000000001</v>
      </c>
      <c r="C40" s="201">
        <f t="shared" ref="C40:T40" si="32">C36*0.37</f>
        <v>1061.9000000000001</v>
      </c>
      <c r="D40" s="201">
        <f t="shared" si="32"/>
        <v>1061.9000000000001</v>
      </c>
      <c r="E40" s="201">
        <f t="shared" si="32"/>
        <v>1061.9000000000001</v>
      </c>
      <c r="F40" s="201">
        <f t="shared" si="32"/>
        <v>1061.9000000000001</v>
      </c>
      <c r="G40" s="201">
        <f t="shared" si="32"/>
        <v>1061.9000000000001</v>
      </c>
      <c r="H40" s="218">
        <f t="shared" si="32"/>
        <v>1061.9000000000001</v>
      </c>
      <c r="I40" s="201">
        <f t="shared" si="32"/>
        <v>1061.9000000000001</v>
      </c>
      <c r="J40" s="201">
        <f t="shared" si="32"/>
        <v>1061.9000000000001</v>
      </c>
      <c r="K40" s="201">
        <f t="shared" si="32"/>
        <v>1061.9000000000001</v>
      </c>
      <c r="L40" s="201">
        <f t="shared" si="32"/>
        <v>1061.9000000000001</v>
      </c>
      <c r="M40" s="218">
        <f t="shared" si="32"/>
        <v>1061.9000000000001</v>
      </c>
      <c r="N40" s="201">
        <f t="shared" si="32"/>
        <v>1061.9000000000001</v>
      </c>
      <c r="O40" s="201">
        <f t="shared" si="32"/>
        <v>1061.9000000000001</v>
      </c>
      <c r="P40" s="201">
        <f t="shared" si="32"/>
        <v>1061.9000000000001</v>
      </c>
      <c r="Q40" s="201">
        <f t="shared" si="32"/>
        <v>1061.9000000000001</v>
      </c>
      <c r="R40" s="201">
        <f t="shared" si="32"/>
        <v>1061.9000000000001</v>
      </c>
      <c r="S40" s="201">
        <f t="shared" si="32"/>
        <v>1061.9000000000001</v>
      </c>
      <c r="T40" s="201">
        <f t="shared" si="32"/>
        <v>1061.9000000000001</v>
      </c>
      <c r="U40" s="202">
        <f>U36*0.37</f>
        <v>20176.099999999999</v>
      </c>
      <c r="V40" s="161"/>
      <c r="W40" s="168"/>
    </row>
    <row r="41" spans="1:66" s="78" customFormat="1" ht="15" thickBot="1" x14ac:dyDescent="0.4">
      <c r="A41" s="179"/>
      <c r="B41" s="212"/>
      <c r="C41" s="179"/>
      <c r="D41" s="179"/>
      <c r="E41" s="179"/>
      <c r="F41" s="179"/>
      <c r="G41" s="179"/>
      <c r="H41" s="212"/>
      <c r="I41" s="179"/>
      <c r="J41" s="179"/>
      <c r="K41" s="179"/>
      <c r="L41" s="179"/>
      <c r="M41" s="212"/>
      <c r="N41" s="179"/>
      <c r="O41" s="179"/>
      <c r="P41" s="179"/>
      <c r="Q41" s="179"/>
      <c r="R41" s="179"/>
      <c r="S41" s="179"/>
      <c r="T41" s="179"/>
      <c r="U41" s="179"/>
      <c r="V41" s="162"/>
      <c r="W41" s="168"/>
      <c r="X41" s="147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51"/>
      <c r="AK41" s="168"/>
      <c r="AL41" s="168"/>
      <c r="AM41" s="168"/>
      <c r="AN41" s="151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68"/>
      <c r="BD41" s="168"/>
      <c r="BE41" s="168"/>
      <c r="BF41" s="168"/>
      <c r="BG41" s="168"/>
      <c r="BH41" s="168"/>
      <c r="BI41" s="168"/>
      <c r="BJ41" s="168"/>
      <c r="BK41" s="168"/>
      <c r="BL41" s="168"/>
      <c r="BM41" s="168"/>
      <c r="BN41" s="168"/>
    </row>
    <row r="42" spans="1:66" s="77" customFormat="1" x14ac:dyDescent="0.35">
      <c r="A42" s="191" t="s">
        <v>55</v>
      </c>
      <c r="B42" s="213"/>
      <c r="C42" s="192"/>
      <c r="D42" s="192"/>
      <c r="E42" s="192"/>
      <c r="F42" s="192"/>
      <c r="G42" s="192"/>
      <c r="H42" s="213"/>
      <c r="I42" s="192"/>
      <c r="J42" s="192"/>
      <c r="K42" s="192"/>
      <c r="L42" s="192"/>
      <c r="M42" s="213"/>
      <c r="N42" s="192"/>
      <c r="O42" s="192"/>
      <c r="P42" s="192"/>
      <c r="Q42" s="192"/>
      <c r="R42" s="192"/>
      <c r="S42" s="192"/>
      <c r="T42" s="192"/>
      <c r="U42" s="192"/>
      <c r="V42" s="163"/>
      <c r="W42" s="168"/>
      <c r="X42" s="147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51"/>
      <c r="AK42" s="168"/>
      <c r="AL42" s="168"/>
      <c r="AM42" s="168"/>
      <c r="AN42" s="151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68"/>
      <c r="BD42" s="168"/>
      <c r="BE42" s="168"/>
      <c r="BF42" s="168"/>
      <c r="BG42" s="168"/>
      <c r="BH42" s="168"/>
      <c r="BI42" s="168"/>
      <c r="BJ42" s="168"/>
      <c r="BK42" s="168"/>
      <c r="BL42" s="168"/>
      <c r="BM42" s="168"/>
      <c r="BN42" s="168"/>
    </row>
    <row r="43" spans="1:66" s="77" customFormat="1" x14ac:dyDescent="0.35">
      <c r="A43" s="193" t="s">
        <v>112</v>
      </c>
      <c r="B43" s="214">
        <f>(30*(B37*$AH$17)+(B38*$AH$18)+(B39*$AH$19)+(B40*$AH$20))+'reference data- 2'!B41</f>
        <v>26227758.096708518</v>
      </c>
      <c r="C43" s="214">
        <f>(30*(C37*$AH$17)+(C38*$AH$18)+(C39*$AH$19)+(C40*$AH$20))+'reference data- 2'!C41</f>
        <v>26227758.096708518</v>
      </c>
      <c r="D43" s="214">
        <f>(30*(D37*$AH$17)+(D38*$AH$18)+(D39*$AH$19)+(D40*$AH$20))+'reference data- 2'!D41</f>
        <v>26227758.096708518</v>
      </c>
      <c r="E43" s="214">
        <f>(30*(E37*$AH$17)+(E38*$AH$18)+(E39*$AH$19)+(E40*$AH$20))+'reference data- 2'!E41</f>
        <v>26227758.096708518</v>
      </c>
      <c r="F43" s="214">
        <f>(30*(F37*$AH$17)+(F38*$AH$18)+(F39*$AH$19)+(F40*$AH$20))+'reference data- 2'!F41</f>
        <v>26227758.096708518</v>
      </c>
      <c r="G43" s="214">
        <f>(30*(G37*$AH$17)+(G38*$AH$18)+(G39*$AH$19)+(G40*$AH$20))+'reference data- 2'!G41</f>
        <v>26227758.096708518</v>
      </c>
      <c r="H43" s="214">
        <f>(30*(H37*$AL$17)+(H38*$AL$18)+(H39*$AL$19)+(H40*$AL$20))+'reference data- 2'!H41</f>
        <v>25876331.259318382</v>
      </c>
      <c r="I43" s="214">
        <f>(30*(I37*$AL$17)+(I38*$AL$18)+(I39*$AL$19)+(I40*$AL$20))+'reference data- 2'!I41</f>
        <v>25876331.259318382</v>
      </c>
      <c r="J43" s="214">
        <f>(30*(J37*$AL$17)+(J38*$AL$18)+(J39*$AL$19)+(J40*$AL$20))+'reference data- 2'!J41</f>
        <v>25876331.259318382</v>
      </c>
      <c r="K43" s="214">
        <f>(30*(K37*$AL$17)+(K38*$AL$18)+(K39*$AL$19)+(K40*$AL$20))+'reference data- 2'!K41</f>
        <v>25876331.259318382</v>
      </c>
      <c r="L43" s="214">
        <f>(30*(L37*$AL$17)+(L38*$AL$18)+(L39*$AL$19)+(L40*$AL$20))+'reference data- 2'!L41</f>
        <v>25876331.259318382</v>
      </c>
      <c r="M43" s="214">
        <f>(30*(M37*$AP$17)+(M38*$AP$18)+(M39*$AP$19)+(M40*$AP$20))+'reference data- 2'!M41</f>
        <v>24758154.958531581</v>
      </c>
      <c r="N43" s="214">
        <f>(30*(N37*$AP$17)+(N38*$AP$18)+(N39*$AP$19)+(N40*$AP$20))+'reference data- 2'!N41</f>
        <v>24758154.958531581</v>
      </c>
      <c r="O43" s="214">
        <f>(30*(O37*$AP$17)+(O38*$AP$18)+(O39*$AP$19)+(O40*$AP$20))+'reference data- 2'!O41</f>
        <v>24758154.958531581</v>
      </c>
      <c r="P43" s="214">
        <f>(30*(P37*$AP$17)+(P38*$AP$18)+(P39*$AP$19)+(P40*$AP$20))+'reference data- 2'!P41</f>
        <v>24758154.958531581</v>
      </c>
      <c r="Q43" s="214">
        <f>(30*(Q37*$AP$17)+(Q38*$AP$18)+(Q39*$AP$19)+(Q40*$AP$20))+'reference data- 2'!Q41</f>
        <v>24758154.958531581</v>
      </c>
      <c r="R43" s="214">
        <f>(30*(R37*$AP$17)+(R38*$AP$18)+(R39*$AP$19)+(R40*$AP$20))+'reference data- 2'!R41</f>
        <v>24758154.958531581</v>
      </c>
      <c r="S43" s="214">
        <f>(30*(S37*$AP$17)+(S38*$AP$18)+(S39*$AP$19)+(S40*$AP$20))+'reference data- 2'!S41</f>
        <v>24758154.958531581</v>
      </c>
      <c r="T43" s="214">
        <f>(30*(T37*$AP$17)+(T38*$AP$18)+(T39*$AP$19)+(T40*$AP$20))+'reference data- 2'!T41</f>
        <v>24758154.958531581</v>
      </c>
      <c r="U43" s="194">
        <f>SUM(B43:T43)</f>
        <v>484813444.54509544</v>
      </c>
      <c r="V43" s="162"/>
      <c r="W43" s="168"/>
      <c r="X43" s="147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51"/>
      <c r="AK43" s="168"/>
      <c r="AL43" s="168"/>
      <c r="AM43" s="168"/>
      <c r="AN43" s="151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68"/>
      <c r="BD43" s="168"/>
      <c r="BE43" s="168"/>
      <c r="BF43" s="168"/>
      <c r="BG43" s="168"/>
      <c r="BH43" s="168"/>
      <c r="BI43" s="168"/>
      <c r="BJ43" s="168"/>
      <c r="BK43" s="168"/>
      <c r="BL43" s="168"/>
      <c r="BM43" s="168"/>
      <c r="BN43" s="168"/>
    </row>
    <row r="44" spans="1:66" s="77" customFormat="1" ht="15" thickBot="1" x14ac:dyDescent="0.4">
      <c r="A44" s="193" t="s">
        <v>113</v>
      </c>
      <c r="B44" s="214">
        <f>B43/1000</f>
        <v>26227.758096708516</v>
      </c>
      <c r="C44" s="214">
        <f t="shared" ref="C44" si="33">C43/1000</f>
        <v>26227.758096708516</v>
      </c>
      <c r="D44" s="214">
        <f t="shared" ref="D44" si="34">D43/1000</f>
        <v>26227.758096708516</v>
      </c>
      <c r="E44" s="214">
        <f t="shared" ref="E44" si="35">E43/1000</f>
        <v>26227.758096708516</v>
      </c>
      <c r="F44" s="214">
        <f t="shared" ref="F44" si="36">F43/1000</f>
        <v>26227.758096708516</v>
      </c>
      <c r="G44" s="214">
        <f t="shared" ref="G44" si="37">G43/1000</f>
        <v>26227.758096708516</v>
      </c>
      <c r="H44" s="214">
        <f t="shared" ref="H44" si="38">H43/1000</f>
        <v>25876.33125931838</v>
      </c>
      <c r="I44" s="214">
        <f t="shared" ref="I44" si="39">I43/1000</f>
        <v>25876.33125931838</v>
      </c>
      <c r="J44" s="214">
        <f t="shared" ref="J44" si="40">J43/1000</f>
        <v>25876.33125931838</v>
      </c>
      <c r="K44" s="214">
        <f t="shared" ref="K44" si="41">K43/1000</f>
        <v>25876.33125931838</v>
      </c>
      <c r="L44" s="214">
        <f t="shared" ref="L44" si="42">L43/1000</f>
        <v>25876.33125931838</v>
      </c>
      <c r="M44" s="214">
        <f t="shared" ref="M44" si="43">M43/1000</f>
        <v>24758.154958531581</v>
      </c>
      <c r="N44" s="214">
        <f t="shared" ref="N44" si="44">N43/1000</f>
        <v>24758.154958531581</v>
      </c>
      <c r="O44" s="214">
        <f t="shared" ref="O44" si="45">O43/1000</f>
        <v>24758.154958531581</v>
      </c>
      <c r="P44" s="214">
        <f t="shared" ref="P44" si="46">P43/1000</f>
        <v>24758.154958531581</v>
      </c>
      <c r="Q44" s="214">
        <f t="shared" ref="Q44" si="47">Q43/1000</f>
        <v>24758.154958531581</v>
      </c>
      <c r="R44" s="214">
        <f t="shared" ref="R44" si="48">R43/1000</f>
        <v>24758.154958531581</v>
      </c>
      <c r="S44" s="214">
        <f t="shared" ref="S44" si="49">S43/1000</f>
        <v>24758.154958531581</v>
      </c>
      <c r="T44" s="214">
        <f t="shared" ref="T44" si="50">T43/1000</f>
        <v>24758.154958531581</v>
      </c>
      <c r="U44" s="214">
        <f t="shared" ref="U44" si="51">U43/1000</f>
        <v>484813.44454509544</v>
      </c>
      <c r="V44" s="164"/>
      <c r="W44" s="168"/>
      <c r="X44" s="147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51"/>
      <c r="AK44" s="168"/>
      <c r="AL44" s="168"/>
      <c r="AM44" s="168"/>
      <c r="AN44" s="151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</row>
    <row r="45" spans="1:66" s="79" customFormat="1" ht="15" thickBot="1" x14ac:dyDescent="0.4">
      <c r="A45" s="193" t="s">
        <v>64</v>
      </c>
      <c r="B45" s="215">
        <f>B44*144</f>
        <v>3776797.1659260262</v>
      </c>
      <c r="C45" s="215">
        <f t="shared" ref="C45:U45" si="52">C44*144</f>
        <v>3776797.1659260262</v>
      </c>
      <c r="D45" s="215">
        <f t="shared" si="52"/>
        <v>3776797.1659260262</v>
      </c>
      <c r="E45" s="215">
        <f t="shared" si="52"/>
        <v>3776797.1659260262</v>
      </c>
      <c r="F45" s="215">
        <f t="shared" si="52"/>
        <v>3776797.1659260262</v>
      </c>
      <c r="G45" s="215">
        <f t="shared" si="52"/>
        <v>3776797.1659260262</v>
      </c>
      <c r="H45" s="215">
        <f t="shared" si="52"/>
        <v>3726191.701341847</v>
      </c>
      <c r="I45" s="215">
        <f t="shared" si="52"/>
        <v>3726191.701341847</v>
      </c>
      <c r="J45" s="215">
        <f t="shared" si="52"/>
        <v>3726191.701341847</v>
      </c>
      <c r="K45" s="215">
        <f t="shared" si="52"/>
        <v>3726191.701341847</v>
      </c>
      <c r="L45" s="215">
        <f t="shared" si="52"/>
        <v>3726191.701341847</v>
      </c>
      <c r="M45" s="215">
        <f t="shared" si="52"/>
        <v>3565174.3140285476</v>
      </c>
      <c r="N45" s="215">
        <f t="shared" si="52"/>
        <v>3565174.3140285476</v>
      </c>
      <c r="O45" s="215">
        <f t="shared" si="52"/>
        <v>3565174.3140285476</v>
      </c>
      <c r="P45" s="215">
        <f t="shared" si="52"/>
        <v>3565174.3140285476</v>
      </c>
      <c r="Q45" s="215">
        <f t="shared" si="52"/>
        <v>3565174.3140285476</v>
      </c>
      <c r="R45" s="215">
        <f t="shared" si="52"/>
        <v>3565174.3140285476</v>
      </c>
      <c r="S45" s="215">
        <f t="shared" si="52"/>
        <v>3565174.3140285476</v>
      </c>
      <c r="T45" s="215">
        <f t="shared" si="52"/>
        <v>3565174.3140285476</v>
      </c>
      <c r="U45" s="215">
        <f t="shared" si="52"/>
        <v>69813136.014493749</v>
      </c>
      <c r="V45" s="159"/>
      <c r="W45" s="168"/>
      <c r="X45" s="147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51"/>
      <c r="AK45" s="168"/>
      <c r="AL45" s="168"/>
      <c r="AM45" s="168"/>
      <c r="AN45" s="151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8"/>
      <c r="BC45" s="168"/>
      <c r="BD45" s="168"/>
      <c r="BE45" s="168"/>
      <c r="BF45" s="168"/>
      <c r="BG45" s="168"/>
      <c r="BH45" s="168"/>
      <c r="BI45" s="168"/>
      <c r="BJ45" s="168"/>
      <c r="BK45" s="168"/>
      <c r="BL45" s="168"/>
      <c r="BM45" s="168"/>
      <c r="BN45" s="168"/>
    </row>
    <row r="46" spans="1:66" x14ac:dyDescent="0.35">
      <c r="A46" s="193"/>
      <c r="B46" s="213"/>
      <c r="C46" s="196"/>
      <c r="D46" s="194"/>
      <c r="E46" s="194"/>
      <c r="F46" s="194"/>
      <c r="G46" s="194"/>
      <c r="H46" s="214"/>
      <c r="I46" s="194"/>
      <c r="J46" s="194"/>
      <c r="K46" s="194"/>
      <c r="L46" s="194"/>
      <c r="M46" s="214"/>
      <c r="N46" s="194"/>
      <c r="O46" s="194"/>
      <c r="P46" s="194"/>
      <c r="Q46" s="194"/>
      <c r="R46" s="194"/>
      <c r="S46" s="194"/>
      <c r="T46" s="194"/>
      <c r="U46" s="194"/>
      <c r="V46" s="159"/>
      <c r="W46" s="168"/>
    </row>
    <row r="47" spans="1:66" ht="15" thickBot="1" x14ac:dyDescent="0.4">
      <c r="A47" s="197"/>
      <c r="B47" s="216"/>
      <c r="C47" s="198"/>
      <c r="D47" s="198"/>
      <c r="E47" s="198"/>
      <c r="F47" s="198"/>
      <c r="G47" s="198"/>
      <c r="H47" s="216"/>
      <c r="I47" s="198"/>
      <c r="J47" s="198"/>
      <c r="K47" s="198"/>
      <c r="L47" s="198"/>
      <c r="M47" s="216"/>
      <c r="N47" s="198"/>
      <c r="O47" s="198"/>
      <c r="P47" s="198"/>
      <c r="Q47" s="198"/>
      <c r="R47" s="198"/>
      <c r="S47" s="198"/>
      <c r="T47" s="198"/>
      <c r="U47" s="198"/>
      <c r="V47" s="159"/>
      <c r="W47" s="168"/>
    </row>
    <row r="48" spans="1:66" x14ac:dyDescent="0.35">
      <c r="A48" s="154"/>
      <c r="B48" s="212"/>
      <c r="C48" s="179"/>
      <c r="D48" s="179"/>
      <c r="E48" s="179"/>
      <c r="F48" s="179"/>
      <c r="G48" s="179"/>
      <c r="H48" s="212"/>
      <c r="I48" s="179"/>
      <c r="J48" s="179"/>
      <c r="K48" s="179"/>
      <c r="L48" s="179"/>
      <c r="M48" s="212"/>
      <c r="N48" s="179"/>
      <c r="O48" s="179"/>
      <c r="P48" s="179"/>
      <c r="Q48" s="179"/>
      <c r="R48" s="179"/>
      <c r="S48" s="179"/>
      <c r="T48" s="179"/>
      <c r="U48" s="179"/>
      <c r="V48" s="160"/>
      <c r="W48" s="168"/>
    </row>
    <row r="49" spans="1:66" x14ac:dyDescent="0.35">
      <c r="A49" s="204"/>
      <c r="B49" s="212"/>
      <c r="C49" s="179"/>
      <c r="D49" s="179"/>
      <c r="E49" s="179"/>
      <c r="F49" s="179"/>
      <c r="G49" s="179"/>
      <c r="H49" s="212"/>
      <c r="I49" s="179"/>
      <c r="J49" s="179"/>
      <c r="K49" s="179"/>
      <c r="L49" s="179"/>
      <c r="M49" s="212"/>
      <c r="N49" s="179"/>
      <c r="O49" s="179"/>
      <c r="P49" s="179"/>
      <c r="Q49" s="179"/>
      <c r="R49" s="179"/>
      <c r="S49" s="179"/>
      <c r="T49" s="179"/>
      <c r="U49" s="179"/>
      <c r="V49" s="159"/>
      <c r="W49" s="168"/>
    </row>
    <row r="50" spans="1:66" x14ac:dyDescent="0.35">
      <c r="A50" s="180" t="s">
        <v>0</v>
      </c>
      <c r="B50" s="209" t="s">
        <v>1</v>
      </c>
      <c r="C50" s="181" t="s">
        <v>2</v>
      </c>
      <c r="D50" s="182" t="s">
        <v>3</v>
      </c>
      <c r="E50" s="182" t="s">
        <v>4</v>
      </c>
      <c r="F50" s="182" t="s">
        <v>5</v>
      </c>
      <c r="G50" s="182" t="s">
        <v>6</v>
      </c>
      <c r="H50" s="209" t="s">
        <v>7</v>
      </c>
      <c r="I50" s="182" t="s">
        <v>8</v>
      </c>
      <c r="J50" s="182" t="s">
        <v>9</v>
      </c>
      <c r="K50" s="182" t="s">
        <v>10</v>
      </c>
      <c r="L50" s="182" t="s">
        <v>11</v>
      </c>
      <c r="M50" s="209" t="s">
        <v>12</v>
      </c>
      <c r="N50" s="182" t="s">
        <v>13</v>
      </c>
      <c r="O50" s="182" t="s">
        <v>14</v>
      </c>
      <c r="P50" s="182" t="s">
        <v>15</v>
      </c>
      <c r="Q50" s="182" t="s">
        <v>16</v>
      </c>
      <c r="R50" s="183" t="s">
        <v>17</v>
      </c>
      <c r="S50" s="184" t="s">
        <v>23</v>
      </c>
      <c r="T50" s="184" t="s">
        <v>24</v>
      </c>
      <c r="U50" s="185" t="s">
        <v>18</v>
      </c>
      <c r="V50" s="159"/>
      <c r="W50" s="168"/>
    </row>
    <row r="51" spans="1:66" x14ac:dyDescent="0.35">
      <c r="A51" s="154" t="s">
        <v>29</v>
      </c>
      <c r="B51" s="217">
        <v>752</v>
      </c>
      <c r="C51" s="199">
        <v>752</v>
      </c>
      <c r="D51" s="199">
        <v>752</v>
      </c>
      <c r="E51" s="199">
        <v>752</v>
      </c>
      <c r="F51" s="199">
        <v>752</v>
      </c>
      <c r="G51" s="199">
        <v>752</v>
      </c>
      <c r="H51" s="217">
        <v>752</v>
      </c>
      <c r="I51" s="199">
        <v>752</v>
      </c>
      <c r="J51" s="199">
        <v>752</v>
      </c>
      <c r="K51" s="199">
        <v>752</v>
      </c>
      <c r="L51" s="199">
        <v>752</v>
      </c>
      <c r="M51" s="217">
        <v>752</v>
      </c>
      <c r="N51" s="199">
        <v>752</v>
      </c>
      <c r="O51" s="199">
        <v>752</v>
      </c>
      <c r="P51" s="199">
        <v>752</v>
      </c>
      <c r="Q51" s="199">
        <v>752</v>
      </c>
      <c r="R51" s="199">
        <v>752</v>
      </c>
      <c r="S51" s="199">
        <v>752</v>
      </c>
      <c r="T51" s="199">
        <v>752</v>
      </c>
      <c r="U51" s="200">
        <v>14290</v>
      </c>
      <c r="V51" s="159"/>
      <c r="W51" s="168"/>
    </row>
    <row r="52" spans="1:66" x14ac:dyDescent="0.35">
      <c r="A52" s="187" t="s">
        <v>20</v>
      </c>
      <c r="B52" s="218">
        <f>B51*0.18</f>
        <v>135.35999999999999</v>
      </c>
      <c r="C52" s="201">
        <f t="shared" ref="C52:U52" si="53">C51*0.18</f>
        <v>135.35999999999999</v>
      </c>
      <c r="D52" s="201">
        <f t="shared" si="53"/>
        <v>135.35999999999999</v>
      </c>
      <c r="E52" s="201">
        <f t="shared" si="53"/>
        <v>135.35999999999999</v>
      </c>
      <c r="F52" s="201">
        <f t="shared" si="53"/>
        <v>135.35999999999999</v>
      </c>
      <c r="G52" s="201">
        <f t="shared" si="53"/>
        <v>135.35999999999999</v>
      </c>
      <c r="H52" s="218">
        <f t="shared" si="53"/>
        <v>135.35999999999999</v>
      </c>
      <c r="I52" s="201">
        <f t="shared" si="53"/>
        <v>135.35999999999999</v>
      </c>
      <c r="J52" s="201">
        <f t="shared" si="53"/>
        <v>135.35999999999999</v>
      </c>
      <c r="K52" s="201">
        <f t="shared" si="53"/>
        <v>135.35999999999999</v>
      </c>
      <c r="L52" s="201">
        <f t="shared" si="53"/>
        <v>135.35999999999999</v>
      </c>
      <c r="M52" s="218">
        <f t="shared" si="53"/>
        <v>135.35999999999999</v>
      </c>
      <c r="N52" s="201">
        <f t="shared" si="53"/>
        <v>135.35999999999999</v>
      </c>
      <c r="O52" s="201">
        <f t="shared" si="53"/>
        <v>135.35999999999999</v>
      </c>
      <c r="P52" s="201">
        <f t="shared" si="53"/>
        <v>135.35999999999999</v>
      </c>
      <c r="Q52" s="201">
        <f t="shared" si="53"/>
        <v>135.35999999999999</v>
      </c>
      <c r="R52" s="201">
        <f t="shared" si="53"/>
        <v>135.35999999999999</v>
      </c>
      <c r="S52" s="201">
        <f t="shared" si="53"/>
        <v>135.35999999999999</v>
      </c>
      <c r="T52" s="201">
        <f t="shared" si="53"/>
        <v>135.35999999999999</v>
      </c>
      <c r="U52" s="202">
        <f t="shared" si="53"/>
        <v>2572.1999999999998</v>
      </c>
      <c r="V52" s="167"/>
      <c r="W52" s="168"/>
    </row>
    <row r="53" spans="1:66" s="80" customFormat="1" ht="15" thickBot="1" x14ac:dyDescent="0.4">
      <c r="A53" s="187" t="s">
        <v>21</v>
      </c>
      <c r="B53" s="218">
        <f>B51*0.24</f>
        <v>180.48</v>
      </c>
      <c r="C53" s="201">
        <f t="shared" ref="C53:U53" si="54">C51*0.24</f>
        <v>180.48</v>
      </c>
      <c r="D53" s="201">
        <f t="shared" si="54"/>
        <v>180.48</v>
      </c>
      <c r="E53" s="201">
        <f t="shared" si="54"/>
        <v>180.48</v>
      </c>
      <c r="F53" s="201">
        <f t="shared" si="54"/>
        <v>180.48</v>
      </c>
      <c r="G53" s="201">
        <f t="shared" si="54"/>
        <v>180.48</v>
      </c>
      <c r="H53" s="218">
        <f t="shared" si="54"/>
        <v>180.48</v>
      </c>
      <c r="I53" s="201">
        <f t="shared" si="54"/>
        <v>180.48</v>
      </c>
      <c r="J53" s="201">
        <f t="shared" si="54"/>
        <v>180.48</v>
      </c>
      <c r="K53" s="201">
        <f t="shared" si="54"/>
        <v>180.48</v>
      </c>
      <c r="L53" s="201">
        <f t="shared" si="54"/>
        <v>180.48</v>
      </c>
      <c r="M53" s="218">
        <f t="shared" si="54"/>
        <v>180.48</v>
      </c>
      <c r="N53" s="201">
        <f t="shared" si="54"/>
        <v>180.48</v>
      </c>
      <c r="O53" s="201">
        <f t="shared" si="54"/>
        <v>180.48</v>
      </c>
      <c r="P53" s="201">
        <f t="shared" si="54"/>
        <v>180.48</v>
      </c>
      <c r="Q53" s="201">
        <f t="shared" si="54"/>
        <v>180.48</v>
      </c>
      <c r="R53" s="201">
        <f t="shared" si="54"/>
        <v>180.48</v>
      </c>
      <c r="S53" s="201">
        <f t="shared" si="54"/>
        <v>180.48</v>
      </c>
      <c r="T53" s="201">
        <f t="shared" si="54"/>
        <v>180.48</v>
      </c>
      <c r="U53" s="202">
        <f t="shared" si="54"/>
        <v>3429.6</v>
      </c>
      <c r="V53" s="159"/>
      <c r="W53" s="168"/>
      <c r="X53" s="147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51"/>
      <c r="AK53" s="168"/>
      <c r="AL53" s="168"/>
      <c r="AM53" s="168"/>
      <c r="AN53" s="151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</row>
    <row r="54" spans="1:66" ht="15" thickBot="1" x14ac:dyDescent="0.4">
      <c r="A54" s="187" t="s">
        <v>26</v>
      </c>
      <c r="B54" s="218">
        <f>B51*0.44</f>
        <v>330.88</v>
      </c>
      <c r="C54" s="201">
        <f t="shared" ref="C54:U54" si="55">C51*0.44</f>
        <v>330.88</v>
      </c>
      <c r="D54" s="201">
        <f t="shared" si="55"/>
        <v>330.88</v>
      </c>
      <c r="E54" s="201">
        <f t="shared" si="55"/>
        <v>330.88</v>
      </c>
      <c r="F54" s="201">
        <f t="shared" si="55"/>
        <v>330.88</v>
      </c>
      <c r="G54" s="201">
        <f t="shared" si="55"/>
        <v>330.88</v>
      </c>
      <c r="H54" s="218">
        <f t="shared" si="55"/>
        <v>330.88</v>
      </c>
      <c r="I54" s="201">
        <f t="shared" si="55"/>
        <v>330.88</v>
      </c>
      <c r="J54" s="201">
        <f t="shared" si="55"/>
        <v>330.88</v>
      </c>
      <c r="K54" s="201">
        <f t="shared" si="55"/>
        <v>330.88</v>
      </c>
      <c r="L54" s="201">
        <f t="shared" si="55"/>
        <v>330.88</v>
      </c>
      <c r="M54" s="218">
        <f t="shared" si="55"/>
        <v>330.88</v>
      </c>
      <c r="N54" s="201">
        <f t="shared" si="55"/>
        <v>330.88</v>
      </c>
      <c r="O54" s="201">
        <f t="shared" si="55"/>
        <v>330.88</v>
      </c>
      <c r="P54" s="201">
        <f t="shared" si="55"/>
        <v>330.88</v>
      </c>
      <c r="Q54" s="201">
        <f t="shared" si="55"/>
        <v>330.88</v>
      </c>
      <c r="R54" s="201">
        <f t="shared" si="55"/>
        <v>330.88</v>
      </c>
      <c r="S54" s="201">
        <f t="shared" si="55"/>
        <v>330.88</v>
      </c>
      <c r="T54" s="201">
        <f t="shared" si="55"/>
        <v>330.88</v>
      </c>
      <c r="U54" s="202">
        <f t="shared" si="55"/>
        <v>6287.6</v>
      </c>
      <c r="V54" s="161"/>
      <c r="W54" s="168"/>
    </row>
    <row r="55" spans="1:66" s="78" customFormat="1" x14ac:dyDescent="0.35">
      <c r="A55" s="190" t="s">
        <v>22</v>
      </c>
      <c r="B55" s="218">
        <f>B51*0.13</f>
        <v>97.76</v>
      </c>
      <c r="C55" s="201">
        <f t="shared" ref="C55:U55" si="56">C51*0.13</f>
        <v>97.76</v>
      </c>
      <c r="D55" s="201">
        <f t="shared" si="56"/>
        <v>97.76</v>
      </c>
      <c r="E55" s="201">
        <f t="shared" si="56"/>
        <v>97.76</v>
      </c>
      <c r="F55" s="201">
        <f t="shared" si="56"/>
        <v>97.76</v>
      </c>
      <c r="G55" s="201">
        <f t="shared" si="56"/>
        <v>97.76</v>
      </c>
      <c r="H55" s="218">
        <f t="shared" si="56"/>
        <v>97.76</v>
      </c>
      <c r="I55" s="201">
        <f t="shared" si="56"/>
        <v>97.76</v>
      </c>
      <c r="J55" s="201">
        <f t="shared" si="56"/>
        <v>97.76</v>
      </c>
      <c r="K55" s="201">
        <f t="shared" si="56"/>
        <v>97.76</v>
      </c>
      <c r="L55" s="201">
        <f t="shared" si="56"/>
        <v>97.76</v>
      </c>
      <c r="M55" s="218">
        <f t="shared" si="56"/>
        <v>97.76</v>
      </c>
      <c r="N55" s="201">
        <f t="shared" si="56"/>
        <v>97.76</v>
      </c>
      <c r="O55" s="201">
        <f t="shared" si="56"/>
        <v>97.76</v>
      </c>
      <c r="P55" s="201">
        <f t="shared" si="56"/>
        <v>97.76</v>
      </c>
      <c r="Q55" s="201">
        <f t="shared" si="56"/>
        <v>97.76</v>
      </c>
      <c r="R55" s="201">
        <f t="shared" si="56"/>
        <v>97.76</v>
      </c>
      <c r="S55" s="201">
        <f t="shared" si="56"/>
        <v>97.76</v>
      </c>
      <c r="T55" s="201">
        <f t="shared" si="56"/>
        <v>97.76</v>
      </c>
      <c r="U55" s="202">
        <f t="shared" si="56"/>
        <v>1857.7</v>
      </c>
      <c r="V55" s="162"/>
      <c r="W55" s="168"/>
      <c r="X55" s="147"/>
      <c r="Y55" s="168"/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151"/>
      <c r="AK55" s="168"/>
      <c r="AL55" s="168"/>
      <c r="AM55" s="168"/>
      <c r="AN55" s="151"/>
      <c r="AO55" s="168"/>
      <c r="AP55" s="168"/>
      <c r="AQ55" s="168"/>
      <c r="AR55" s="168"/>
      <c r="AS55" s="168"/>
      <c r="AT55" s="168"/>
      <c r="AU55" s="168"/>
      <c r="AV55" s="168"/>
      <c r="AW55" s="168"/>
      <c r="AX55" s="168"/>
      <c r="AY55" s="168"/>
      <c r="AZ55" s="168"/>
      <c r="BA55" s="168"/>
      <c r="BB55" s="168"/>
      <c r="BC55" s="168"/>
      <c r="BD55" s="168"/>
      <c r="BE55" s="168"/>
      <c r="BF55" s="168"/>
      <c r="BG55" s="168"/>
      <c r="BH55" s="168"/>
      <c r="BI55" s="168"/>
      <c r="BJ55" s="168"/>
      <c r="BK55" s="168"/>
      <c r="BL55" s="168"/>
      <c r="BM55" s="168"/>
      <c r="BN55" s="168"/>
    </row>
    <row r="56" spans="1:66" s="77" customFormat="1" ht="15" thickBot="1" x14ac:dyDescent="0.4">
      <c r="A56" s="179"/>
      <c r="B56" s="217"/>
      <c r="C56" s="199"/>
      <c r="D56" s="199"/>
      <c r="E56" s="199"/>
      <c r="F56" s="199"/>
      <c r="G56" s="199"/>
      <c r="H56" s="217"/>
      <c r="I56" s="199"/>
      <c r="J56" s="199"/>
      <c r="K56" s="199"/>
      <c r="L56" s="199"/>
      <c r="M56" s="217"/>
      <c r="N56" s="199"/>
      <c r="O56" s="199"/>
      <c r="P56" s="199"/>
      <c r="Q56" s="199"/>
      <c r="R56" s="199"/>
      <c r="S56" s="199"/>
      <c r="T56" s="199"/>
      <c r="U56" s="200"/>
      <c r="V56" s="163"/>
      <c r="W56" s="168"/>
      <c r="X56" s="147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51"/>
      <c r="AK56" s="168"/>
      <c r="AL56" s="168"/>
      <c r="AM56" s="168"/>
      <c r="AN56" s="151"/>
      <c r="AO56" s="168"/>
      <c r="AP56" s="168"/>
      <c r="AQ56" s="168"/>
      <c r="AR56" s="168"/>
      <c r="AS56" s="168"/>
      <c r="AT56" s="168"/>
      <c r="AU56" s="168"/>
      <c r="AV56" s="168"/>
      <c r="AW56" s="168"/>
      <c r="AX56" s="168"/>
      <c r="AY56" s="168"/>
      <c r="AZ56" s="168"/>
      <c r="BA56" s="168"/>
      <c r="BB56" s="168"/>
      <c r="BC56" s="168"/>
      <c r="BD56" s="168"/>
      <c r="BE56" s="168"/>
      <c r="BF56" s="168"/>
      <c r="BG56" s="168"/>
      <c r="BH56" s="168"/>
      <c r="BI56" s="168"/>
      <c r="BJ56" s="168"/>
      <c r="BK56" s="168"/>
      <c r="BL56" s="168"/>
      <c r="BM56" s="168"/>
      <c r="BN56" s="168"/>
    </row>
    <row r="57" spans="1:66" s="77" customFormat="1" x14ac:dyDescent="0.35">
      <c r="A57" s="191" t="s">
        <v>55</v>
      </c>
      <c r="B57" s="213"/>
      <c r="C57" s="192"/>
      <c r="D57" s="192"/>
      <c r="E57" s="192"/>
      <c r="F57" s="192"/>
      <c r="G57" s="192"/>
      <c r="H57" s="213"/>
      <c r="I57" s="192"/>
      <c r="J57" s="192"/>
      <c r="K57" s="192"/>
      <c r="L57" s="192"/>
      <c r="M57" s="213"/>
      <c r="N57" s="192"/>
      <c r="O57" s="192"/>
      <c r="P57" s="192"/>
      <c r="Q57" s="192"/>
      <c r="R57" s="192"/>
      <c r="S57" s="192"/>
      <c r="T57" s="192"/>
      <c r="U57" s="192"/>
      <c r="V57" s="162"/>
      <c r="W57" s="168"/>
      <c r="X57" s="147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51"/>
      <c r="AK57" s="168"/>
      <c r="AL57" s="168"/>
      <c r="AM57" s="168"/>
      <c r="AN57" s="151"/>
      <c r="AO57" s="168"/>
      <c r="AP57" s="168"/>
      <c r="AQ57" s="168"/>
      <c r="AR57" s="168"/>
      <c r="AS57" s="168"/>
      <c r="AT57" s="168"/>
      <c r="AU57" s="168"/>
      <c r="AV57" s="168"/>
      <c r="AW57" s="168"/>
      <c r="AX57" s="168"/>
      <c r="AY57" s="168"/>
      <c r="AZ57" s="168"/>
      <c r="BA57" s="168"/>
      <c r="BB57" s="168"/>
      <c r="BC57" s="168"/>
      <c r="BD57" s="168"/>
      <c r="BE57" s="168"/>
      <c r="BF57" s="168"/>
      <c r="BG57" s="168"/>
      <c r="BH57" s="168"/>
      <c r="BI57" s="168"/>
      <c r="BJ57" s="168"/>
      <c r="BK57" s="168"/>
      <c r="BL57" s="168"/>
      <c r="BM57" s="168"/>
      <c r="BN57" s="168"/>
    </row>
    <row r="58" spans="1:66" s="77" customFormat="1" ht="15" thickBot="1" x14ac:dyDescent="0.4">
      <c r="A58" s="193" t="s">
        <v>112</v>
      </c>
      <c r="B58" s="214">
        <f>(30*(B52*$AH$17)+(B53*$AH$18)+(B54*$AH$19)+(B55*$AH$20))+'reference data- 2'!B55</f>
        <v>5223054.3783682706</v>
      </c>
      <c r="C58" s="214">
        <f>(30*(C52*$AH$17)+(C53*$AH$18)+(C54*$AH$19)+(C55*$AH$20))+'reference data- 2'!C55</f>
        <v>5223054.3783682706</v>
      </c>
      <c r="D58" s="214">
        <f>(30*(D52*$AH$17)+(D53*$AH$18)+(D54*$AH$19)+(D55*$AH$20))+'reference data- 2'!D55</f>
        <v>5223054.3783682706</v>
      </c>
      <c r="E58" s="214">
        <f>(30*(E52*$AH$17)+(E53*$AH$18)+(E54*$AH$19)+(E55*$AH$20))+'reference data- 2'!E55</f>
        <v>5223054.3783682706</v>
      </c>
      <c r="F58" s="214">
        <f>(30*(F52*$AH$17)+(F53*$AH$18)+(F54*$AH$19)+(F55*$AH$20))+'reference data- 2'!F55</f>
        <v>5223054.3783682706</v>
      </c>
      <c r="G58" s="214">
        <f>(30*(G52*$AH$17)+(G53*$AH$18)+(G54*$AH$19)+(G55*$AH$20))+'reference data- 2'!G55</f>
        <v>5223054.3783682706</v>
      </c>
      <c r="H58" s="214">
        <f>(30*(H52*$AL$17)+(H53*$AL$18)+(H54*$AL$19)+(H55*$AL$20))+'reference data- 2'!H55</f>
        <v>5007290.9602890462</v>
      </c>
      <c r="I58" s="214">
        <f>(30*(I52*$AL$17)+(I53*$AL$18)+(I54*$AL$19)+(I55*$AL$20))+'reference data- 2'!I55</f>
        <v>5007290.9602890462</v>
      </c>
      <c r="J58" s="214">
        <f>(30*(J52*$AL$17)+(J53*$AL$18)+(J54*$AL$19)+(J55*$AL$20))+'reference data- 2'!J55</f>
        <v>5007290.9602890462</v>
      </c>
      <c r="K58" s="214">
        <f>(30*(K52*$AL$17)+(K53*$AL$18)+(K54*$AL$19)+(K55*$AL$20))+'reference data- 2'!K55</f>
        <v>5007290.9602890462</v>
      </c>
      <c r="L58" s="214">
        <f>(30*(L52*$AL$17)+(L53*$AL$18)+(L54*$AL$19)+(L55*$AL$20))+'reference data- 2'!L55</f>
        <v>5007290.9602890462</v>
      </c>
      <c r="M58" s="214">
        <f>(30*(M52*$AP$17)+(M53*$AP$18)+(M54*$AP$19)+(M55*$AP$20))+'reference data- 2'!M55</f>
        <v>4320770.9936733283</v>
      </c>
      <c r="N58" s="214">
        <f>(30*(N52*$AP$17)+(N53*$AP$18)+(N54*$AP$19)+(N55*$AP$20))+'reference data- 2'!N55</f>
        <v>4320770.9936733283</v>
      </c>
      <c r="O58" s="214">
        <f>(30*(O52*$AP$17)+(O53*$AP$18)+(O54*$AP$19)+(O55*$AP$20))+'reference data- 2'!O55</f>
        <v>4320770.9936733283</v>
      </c>
      <c r="P58" s="214">
        <f>(30*(P52*$AP$17)+(P53*$AP$18)+(P54*$AP$19)+(P55*$AP$20))+'reference data- 2'!P55</f>
        <v>4320770.9936733283</v>
      </c>
      <c r="Q58" s="214">
        <f>(30*(Q52*$AP$17)+(Q53*$AP$18)+(Q54*$AP$19)+(Q55*$AP$20))+'reference data- 2'!Q55</f>
        <v>4320770.9936733283</v>
      </c>
      <c r="R58" s="214">
        <f>(30*(R52*$AP$17)+(R53*$AP$18)+(R54*$AP$19)+(R55*$AP$20))+'reference data- 2'!R55</f>
        <v>4320770.9936733283</v>
      </c>
      <c r="S58" s="214">
        <f>(30*(S52*$AP$17)+(S53*$AP$18)+(S54*$AP$19)+(S55*$AP$20))+'reference data- 2'!S55</f>
        <v>4320770.9936733283</v>
      </c>
      <c r="T58" s="214">
        <f>(30*(T52*$AP$17)+(T53*$AP$18)+(T54*$AP$19)+(T55*$AP$20))+'reference data- 2'!T55</f>
        <v>4320770.9936733283</v>
      </c>
      <c r="U58" s="194">
        <f>SUM(B58:T58)</f>
        <v>90940949.021041453</v>
      </c>
      <c r="V58" s="164"/>
      <c r="W58" s="168"/>
      <c r="X58" s="147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51"/>
      <c r="AK58" s="168"/>
      <c r="AL58" s="168"/>
      <c r="AM58" s="168"/>
      <c r="AN58" s="151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168"/>
      <c r="BI58" s="168"/>
      <c r="BJ58" s="168"/>
      <c r="BK58" s="168"/>
      <c r="BL58" s="168"/>
      <c r="BM58" s="168"/>
      <c r="BN58" s="168"/>
    </row>
    <row r="59" spans="1:66" s="155" customFormat="1" ht="15" thickBot="1" x14ac:dyDescent="0.4">
      <c r="A59" s="193" t="s">
        <v>113</v>
      </c>
      <c r="B59" s="214">
        <f>B58/1000</f>
        <v>5223.0543783682706</v>
      </c>
      <c r="C59" s="214">
        <f t="shared" ref="C59" si="57">C58/1000</f>
        <v>5223.0543783682706</v>
      </c>
      <c r="D59" s="214">
        <f t="shared" ref="D59" si="58">D58/1000</f>
        <v>5223.0543783682706</v>
      </c>
      <c r="E59" s="214">
        <f t="shared" ref="E59" si="59">E58/1000</f>
        <v>5223.0543783682706</v>
      </c>
      <c r="F59" s="214">
        <f t="shared" ref="F59" si="60">F58/1000</f>
        <v>5223.0543783682706</v>
      </c>
      <c r="G59" s="214">
        <f t="shared" ref="G59" si="61">G58/1000</f>
        <v>5223.0543783682706</v>
      </c>
      <c r="H59" s="214">
        <f t="shared" ref="H59" si="62">H58/1000</f>
        <v>5007.2909602890459</v>
      </c>
      <c r="I59" s="214">
        <f t="shared" ref="I59" si="63">I58/1000</f>
        <v>5007.2909602890459</v>
      </c>
      <c r="J59" s="214">
        <f t="shared" ref="J59" si="64">J58/1000</f>
        <v>5007.2909602890459</v>
      </c>
      <c r="K59" s="214">
        <f t="shared" ref="K59" si="65">K58/1000</f>
        <v>5007.2909602890459</v>
      </c>
      <c r="L59" s="214">
        <f t="shared" ref="L59" si="66">L58/1000</f>
        <v>5007.2909602890459</v>
      </c>
      <c r="M59" s="214">
        <f t="shared" ref="M59" si="67">M58/1000</f>
        <v>4320.7709936733281</v>
      </c>
      <c r="N59" s="214">
        <f t="shared" ref="N59" si="68">N58/1000</f>
        <v>4320.7709936733281</v>
      </c>
      <c r="O59" s="214">
        <f t="shared" ref="O59" si="69">O58/1000</f>
        <v>4320.7709936733281</v>
      </c>
      <c r="P59" s="214">
        <f t="shared" ref="P59" si="70">P58/1000</f>
        <v>4320.7709936733281</v>
      </c>
      <c r="Q59" s="214">
        <f t="shared" ref="Q59" si="71">Q58/1000</f>
        <v>4320.7709936733281</v>
      </c>
      <c r="R59" s="214">
        <f t="shared" ref="R59" si="72">R58/1000</f>
        <v>4320.7709936733281</v>
      </c>
      <c r="S59" s="214">
        <f t="shared" ref="S59" si="73">S58/1000</f>
        <v>4320.7709936733281</v>
      </c>
      <c r="T59" s="214">
        <f t="shared" ref="T59" si="74">T58/1000</f>
        <v>4320.7709936733281</v>
      </c>
      <c r="U59" s="214">
        <f t="shared" ref="U59" si="75">U58/1000</f>
        <v>90940.949021041451</v>
      </c>
      <c r="V59" s="164"/>
      <c r="W59" s="168"/>
      <c r="X59" s="147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51"/>
      <c r="AK59" s="168"/>
      <c r="AL59" s="168"/>
      <c r="AM59" s="168"/>
      <c r="AN59" s="151"/>
      <c r="AO59" s="168"/>
      <c r="AP59" s="168"/>
      <c r="AQ59" s="168"/>
      <c r="AR59" s="168"/>
      <c r="AS59" s="168"/>
      <c r="AT59" s="168"/>
      <c r="AU59" s="168"/>
      <c r="AV59" s="168"/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168"/>
      <c r="BI59" s="168"/>
      <c r="BJ59" s="168"/>
      <c r="BK59" s="168"/>
      <c r="BL59" s="168"/>
      <c r="BM59" s="168"/>
      <c r="BN59" s="168"/>
    </row>
    <row r="60" spans="1:66" s="79" customFormat="1" ht="15" thickBot="1" x14ac:dyDescent="0.4">
      <c r="A60" s="193" t="s">
        <v>64</v>
      </c>
      <c r="B60" s="215">
        <f>B59*144</f>
        <v>752119.83048503101</v>
      </c>
      <c r="C60" s="215">
        <f t="shared" ref="C60:U60" si="76">C59*144</f>
        <v>752119.83048503101</v>
      </c>
      <c r="D60" s="215">
        <f t="shared" si="76"/>
        <v>752119.83048503101</v>
      </c>
      <c r="E60" s="215">
        <f t="shared" si="76"/>
        <v>752119.83048503101</v>
      </c>
      <c r="F60" s="215">
        <f t="shared" si="76"/>
        <v>752119.83048503101</v>
      </c>
      <c r="G60" s="215">
        <f t="shared" si="76"/>
        <v>752119.83048503101</v>
      </c>
      <c r="H60" s="215">
        <f t="shared" si="76"/>
        <v>721049.89828162256</v>
      </c>
      <c r="I60" s="215">
        <f t="shared" si="76"/>
        <v>721049.89828162256</v>
      </c>
      <c r="J60" s="215">
        <f t="shared" si="76"/>
        <v>721049.89828162256</v>
      </c>
      <c r="K60" s="215">
        <f t="shared" si="76"/>
        <v>721049.89828162256</v>
      </c>
      <c r="L60" s="215">
        <f t="shared" si="76"/>
        <v>721049.89828162256</v>
      </c>
      <c r="M60" s="215">
        <f t="shared" si="76"/>
        <v>622191.02308895928</v>
      </c>
      <c r="N60" s="215">
        <f t="shared" si="76"/>
        <v>622191.02308895928</v>
      </c>
      <c r="O60" s="215">
        <f t="shared" si="76"/>
        <v>622191.02308895928</v>
      </c>
      <c r="P60" s="215">
        <f t="shared" si="76"/>
        <v>622191.02308895928</v>
      </c>
      <c r="Q60" s="215">
        <f t="shared" si="76"/>
        <v>622191.02308895928</v>
      </c>
      <c r="R60" s="215">
        <f t="shared" si="76"/>
        <v>622191.02308895928</v>
      </c>
      <c r="S60" s="215">
        <f t="shared" si="76"/>
        <v>622191.02308895928</v>
      </c>
      <c r="T60" s="215">
        <f t="shared" si="76"/>
        <v>622191.02308895928</v>
      </c>
      <c r="U60" s="215">
        <f t="shared" si="76"/>
        <v>13095496.659029968</v>
      </c>
      <c r="V60" s="159"/>
      <c r="W60" s="168"/>
      <c r="X60" s="147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51"/>
      <c r="AK60" s="168"/>
      <c r="AL60" s="168"/>
      <c r="AM60" s="168"/>
      <c r="AN60" s="151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8"/>
      <c r="AZ60" s="168"/>
      <c r="BA60" s="168"/>
      <c r="BB60" s="168"/>
      <c r="BC60" s="168"/>
      <c r="BD60" s="168"/>
      <c r="BE60" s="168"/>
      <c r="BF60" s="168"/>
      <c r="BG60" s="168"/>
      <c r="BH60" s="168"/>
      <c r="BI60" s="168"/>
      <c r="BJ60" s="168"/>
      <c r="BK60" s="168"/>
      <c r="BL60" s="168"/>
      <c r="BM60" s="168"/>
      <c r="BN60" s="168"/>
    </row>
    <row r="61" spans="1:66" x14ac:dyDescent="0.35">
      <c r="A61" s="193"/>
      <c r="B61" s="213"/>
      <c r="C61" s="196"/>
      <c r="D61" s="194"/>
      <c r="E61" s="194"/>
      <c r="F61" s="194"/>
      <c r="G61" s="194"/>
      <c r="H61" s="214"/>
      <c r="I61" s="194"/>
      <c r="J61" s="194"/>
      <c r="K61" s="194"/>
      <c r="L61" s="194"/>
      <c r="M61" s="214"/>
      <c r="N61" s="194"/>
      <c r="O61" s="194"/>
      <c r="P61" s="194"/>
      <c r="Q61" s="194"/>
      <c r="R61" s="194"/>
      <c r="S61" s="194"/>
      <c r="T61" s="194"/>
      <c r="U61" s="194"/>
      <c r="V61" s="159"/>
      <c r="W61" s="168"/>
    </row>
    <row r="62" spans="1:66" ht="15" thickBot="1" x14ac:dyDescent="0.4">
      <c r="A62" s="197"/>
      <c r="B62" s="216"/>
      <c r="C62" s="198"/>
      <c r="D62" s="198"/>
      <c r="E62" s="198"/>
      <c r="F62" s="198"/>
      <c r="G62" s="198"/>
      <c r="H62" s="216"/>
      <c r="I62" s="198"/>
      <c r="J62" s="198"/>
      <c r="K62" s="198"/>
      <c r="L62" s="198"/>
      <c r="M62" s="216"/>
      <c r="N62" s="198"/>
      <c r="O62" s="198"/>
      <c r="P62" s="198"/>
      <c r="Q62" s="198"/>
      <c r="R62" s="198"/>
      <c r="S62" s="198"/>
      <c r="T62" s="198"/>
      <c r="U62" s="198"/>
      <c r="V62" s="159"/>
      <c r="W62" s="168"/>
    </row>
    <row r="63" spans="1:66" x14ac:dyDescent="0.35">
      <c r="A63" s="187"/>
      <c r="B63" s="212"/>
      <c r="C63" s="179"/>
      <c r="D63" s="179"/>
      <c r="E63" s="179"/>
      <c r="F63" s="179"/>
      <c r="G63" s="179"/>
      <c r="H63" s="212"/>
      <c r="I63" s="179"/>
      <c r="J63" s="179"/>
      <c r="K63" s="179"/>
      <c r="L63" s="179"/>
      <c r="M63" s="212"/>
      <c r="N63" s="179"/>
      <c r="O63" s="179"/>
      <c r="P63" s="179"/>
      <c r="Q63" s="179"/>
      <c r="R63" s="179"/>
      <c r="S63" s="179"/>
      <c r="T63" s="179"/>
      <c r="U63" s="179"/>
      <c r="V63" s="160"/>
      <c r="W63" s="168"/>
    </row>
    <row r="64" spans="1:66" x14ac:dyDescent="0.35">
      <c r="A64" s="154"/>
      <c r="B64" s="212"/>
      <c r="C64" s="179"/>
      <c r="D64" s="179"/>
      <c r="E64" s="179"/>
      <c r="F64" s="179"/>
      <c r="G64" s="179"/>
      <c r="H64" s="212"/>
      <c r="I64" s="179"/>
      <c r="J64" s="179"/>
      <c r="K64" s="179"/>
      <c r="L64" s="179"/>
      <c r="M64" s="212"/>
      <c r="N64" s="179"/>
      <c r="O64" s="179"/>
      <c r="P64" s="179"/>
      <c r="Q64" s="179"/>
      <c r="R64" s="179"/>
      <c r="S64" s="179"/>
      <c r="T64" s="179"/>
      <c r="U64" s="179"/>
      <c r="V64" s="159"/>
      <c r="W64" s="168"/>
    </row>
    <row r="65" spans="1:66" x14ac:dyDescent="0.35">
      <c r="A65" s="180" t="s">
        <v>0</v>
      </c>
      <c r="B65" s="209" t="s">
        <v>1</v>
      </c>
      <c r="C65" s="181" t="s">
        <v>2</v>
      </c>
      <c r="D65" s="182" t="s">
        <v>3</v>
      </c>
      <c r="E65" s="182" t="s">
        <v>4</v>
      </c>
      <c r="F65" s="182" t="s">
        <v>5</v>
      </c>
      <c r="G65" s="182" t="s">
        <v>6</v>
      </c>
      <c r="H65" s="209" t="s">
        <v>7</v>
      </c>
      <c r="I65" s="182" t="s">
        <v>8</v>
      </c>
      <c r="J65" s="182" t="s">
        <v>9</v>
      </c>
      <c r="K65" s="182" t="s">
        <v>10</v>
      </c>
      <c r="L65" s="182" t="s">
        <v>11</v>
      </c>
      <c r="M65" s="209" t="s">
        <v>12</v>
      </c>
      <c r="N65" s="182" t="s">
        <v>13</v>
      </c>
      <c r="O65" s="182" t="s">
        <v>14</v>
      </c>
      <c r="P65" s="182" t="s">
        <v>15</v>
      </c>
      <c r="Q65" s="182" t="s">
        <v>16</v>
      </c>
      <c r="R65" s="183" t="s">
        <v>17</v>
      </c>
      <c r="S65" s="184" t="s">
        <v>23</v>
      </c>
      <c r="T65" s="184" t="s">
        <v>24</v>
      </c>
      <c r="U65" s="185" t="s">
        <v>18</v>
      </c>
      <c r="V65" s="159"/>
      <c r="W65" s="168"/>
    </row>
    <row r="66" spans="1:66" x14ac:dyDescent="0.35">
      <c r="A66" s="154" t="s">
        <v>30</v>
      </c>
      <c r="B66" s="217">
        <v>640</v>
      </c>
      <c r="C66" s="199">
        <v>640</v>
      </c>
      <c r="D66" s="199">
        <v>640</v>
      </c>
      <c r="E66" s="199">
        <v>640</v>
      </c>
      <c r="F66" s="199">
        <v>640</v>
      </c>
      <c r="G66" s="199">
        <v>640</v>
      </c>
      <c r="H66" s="217">
        <v>640</v>
      </c>
      <c r="I66" s="199">
        <v>640</v>
      </c>
      <c r="J66" s="199">
        <v>640</v>
      </c>
      <c r="K66" s="199">
        <v>640</v>
      </c>
      <c r="L66" s="199">
        <v>640</v>
      </c>
      <c r="M66" s="217">
        <v>640</v>
      </c>
      <c r="N66" s="199">
        <v>640</v>
      </c>
      <c r="O66" s="199">
        <v>640</v>
      </c>
      <c r="P66" s="199">
        <v>640</v>
      </c>
      <c r="Q66" s="199">
        <v>640</v>
      </c>
      <c r="R66" s="199">
        <v>640</v>
      </c>
      <c r="S66" s="199">
        <v>640</v>
      </c>
      <c r="T66" s="199">
        <v>640</v>
      </c>
      <c r="U66" s="200">
        <v>12160</v>
      </c>
      <c r="V66" s="159"/>
      <c r="W66" s="168"/>
    </row>
    <row r="67" spans="1:66" x14ac:dyDescent="0.35">
      <c r="A67" s="187" t="s">
        <v>20</v>
      </c>
      <c r="B67" s="218">
        <f>B66*0.1</f>
        <v>64</v>
      </c>
      <c r="C67" s="201">
        <f t="shared" ref="C67:U67" si="77">C66*0.1</f>
        <v>64</v>
      </c>
      <c r="D67" s="201">
        <f t="shared" si="77"/>
        <v>64</v>
      </c>
      <c r="E67" s="201">
        <f t="shared" si="77"/>
        <v>64</v>
      </c>
      <c r="F67" s="201">
        <f t="shared" si="77"/>
        <v>64</v>
      </c>
      <c r="G67" s="201">
        <f t="shared" si="77"/>
        <v>64</v>
      </c>
      <c r="H67" s="218">
        <f t="shared" si="77"/>
        <v>64</v>
      </c>
      <c r="I67" s="201">
        <f t="shared" si="77"/>
        <v>64</v>
      </c>
      <c r="J67" s="201">
        <f t="shared" si="77"/>
        <v>64</v>
      </c>
      <c r="K67" s="201">
        <f t="shared" si="77"/>
        <v>64</v>
      </c>
      <c r="L67" s="201">
        <f t="shared" si="77"/>
        <v>64</v>
      </c>
      <c r="M67" s="218">
        <f t="shared" si="77"/>
        <v>64</v>
      </c>
      <c r="N67" s="201">
        <f t="shared" si="77"/>
        <v>64</v>
      </c>
      <c r="O67" s="201">
        <f t="shared" si="77"/>
        <v>64</v>
      </c>
      <c r="P67" s="201">
        <f t="shared" si="77"/>
        <v>64</v>
      </c>
      <c r="Q67" s="201">
        <f t="shared" si="77"/>
        <v>64</v>
      </c>
      <c r="R67" s="201">
        <f t="shared" si="77"/>
        <v>64</v>
      </c>
      <c r="S67" s="201">
        <f t="shared" si="77"/>
        <v>64</v>
      </c>
      <c r="T67" s="201">
        <f t="shared" si="77"/>
        <v>64</v>
      </c>
      <c r="U67" s="202">
        <f t="shared" si="77"/>
        <v>1216</v>
      </c>
      <c r="V67" s="167"/>
      <c r="W67" s="168"/>
    </row>
    <row r="68" spans="1:66" s="80" customFormat="1" ht="15" thickBot="1" x14ac:dyDescent="0.4">
      <c r="A68" s="187" t="s">
        <v>21</v>
      </c>
      <c r="B68" s="218">
        <f>B66*0.27</f>
        <v>172.8</v>
      </c>
      <c r="C68" s="201">
        <f t="shared" ref="C68:U68" si="78">C66*0.27</f>
        <v>172.8</v>
      </c>
      <c r="D68" s="201">
        <f t="shared" si="78"/>
        <v>172.8</v>
      </c>
      <c r="E68" s="201">
        <f t="shared" si="78"/>
        <v>172.8</v>
      </c>
      <c r="F68" s="201">
        <f t="shared" si="78"/>
        <v>172.8</v>
      </c>
      <c r="G68" s="201">
        <f t="shared" si="78"/>
        <v>172.8</v>
      </c>
      <c r="H68" s="218">
        <f t="shared" si="78"/>
        <v>172.8</v>
      </c>
      <c r="I68" s="201">
        <f t="shared" si="78"/>
        <v>172.8</v>
      </c>
      <c r="J68" s="201">
        <f t="shared" si="78"/>
        <v>172.8</v>
      </c>
      <c r="K68" s="201">
        <f t="shared" si="78"/>
        <v>172.8</v>
      </c>
      <c r="L68" s="201">
        <f t="shared" si="78"/>
        <v>172.8</v>
      </c>
      <c r="M68" s="218">
        <f t="shared" si="78"/>
        <v>172.8</v>
      </c>
      <c r="N68" s="201">
        <f t="shared" si="78"/>
        <v>172.8</v>
      </c>
      <c r="O68" s="201">
        <f t="shared" si="78"/>
        <v>172.8</v>
      </c>
      <c r="P68" s="201">
        <f t="shared" si="78"/>
        <v>172.8</v>
      </c>
      <c r="Q68" s="201">
        <f t="shared" si="78"/>
        <v>172.8</v>
      </c>
      <c r="R68" s="201">
        <f t="shared" si="78"/>
        <v>172.8</v>
      </c>
      <c r="S68" s="201">
        <f t="shared" si="78"/>
        <v>172.8</v>
      </c>
      <c r="T68" s="201">
        <f t="shared" si="78"/>
        <v>172.8</v>
      </c>
      <c r="U68" s="202">
        <f t="shared" si="78"/>
        <v>3283.2000000000003</v>
      </c>
      <c r="V68" s="159"/>
      <c r="W68" s="168"/>
      <c r="X68" s="147"/>
      <c r="Y68" s="168"/>
      <c r="Z68" s="168"/>
      <c r="AA68" s="168"/>
      <c r="AB68" s="168"/>
      <c r="AC68" s="168"/>
      <c r="AD68" s="168"/>
      <c r="AE68" s="168"/>
      <c r="AF68" s="168"/>
      <c r="AG68" s="168"/>
      <c r="AH68" s="168"/>
      <c r="AI68" s="168"/>
      <c r="AJ68" s="151"/>
      <c r="AK68" s="168"/>
      <c r="AL68" s="168"/>
      <c r="AM68" s="168"/>
      <c r="AN68" s="151"/>
      <c r="AO68" s="168"/>
      <c r="AP68" s="168"/>
      <c r="AQ68" s="168"/>
      <c r="AR68" s="168"/>
      <c r="AS68" s="168"/>
      <c r="AT68" s="168"/>
      <c r="AU68" s="168"/>
      <c r="AV68" s="168"/>
      <c r="AW68" s="168"/>
      <c r="AX68" s="168"/>
      <c r="AY68" s="168"/>
      <c r="AZ68" s="168"/>
      <c r="BA68" s="168"/>
      <c r="BB68" s="168"/>
      <c r="BC68" s="168"/>
      <c r="BD68" s="168"/>
      <c r="BE68" s="168"/>
      <c r="BF68" s="168"/>
      <c r="BG68" s="168"/>
      <c r="BH68" s="168"/>
      <c r="BI68" s="168"/>
      <c r="BJ68" s="168"/>
      <c r="BK68" s="168"/>
      <c r="BL68" s="168"/>
      <c r="BM68" s="168"/>
      <c r="BN68" s="168"/>
    </row>
    <row r="69" spans="1:66" ht="15" thickBot="1" x14ac:dyDescent="0.4">
      <c r="A69" s="187" t="s">
        <v>26</v>
      </c>
      <c r="B69" s="218">
        <f>B66*0.39</f>
        <v>249.60000000000002</v>
      </c>
      <c r="C69" s="201">
        <f t="shared" ref="C69:U69" si="79">C66*0.39</f>
        <v>249.60000000000002</v>
      </c>
      <c r="D69" s="201">
        <f t="shared" si="79"/>
        <v>249.60000000000002</v>
      </c>
      <c r="E69" s="201">
        <f t="shared" si="79"/>
        <v>249.60000000000002</v>
      </c>
      <c r="F69" s="201">
        <f t="shared" si="79"/>
        <v>249.60000000000002</v>
      </c>
      <c r="G69" s="201">
        <f t="shared" si="79"/>
        <v>249.60000000000002</v>
      </c>
      <c r="H69" s="218">
        <f t="shared" si="79"/>
        <v>249.60000000000002</v>
      </c>
      <c r="I69" s="201">
        <f t="shared" si="79"/>
        <v>249.60000000000002</v>
      </c>
      <c r="J69" s="201">
        <f t="shared" si="79"/>
        <v>249.60000000000002</v>
      </c>
      <c r="K69" s="201">
        <f t="shared" si="79"/>
        <v>249.60000000000002</v>
      </c>
      <c r="L69" s="201">
        <f t="shared" si="79"/>
        <v>249.60000000000002</v>
      </c>
      <c r="M69" s="218">
        <f t="shared" si="79"/>
        <v>249.60000000000002</v>
      </c>
      <c r="N69" s="201">
        <f t="shared" si="79"/>
        <v>249.60000000000002</v>
      </c>
      <c r="O69" s="201">
        <f t="shared" si="79"/>
        <v>249.60000000000002</v>
      </c>
      <c r="P69" s="201">
        <f t="shared" si="79"/>
        <v>249.60000000000002</v>
      </c>
      <c r="Q69" s="201">
        <f t="shared" si="79"/>
        <v>249.60000000000002</v>
      </c>
      <c r="R69" s="201">
        <f t="shared" si="79"/>
        <v>249.60000000000002</v>
      </c>
      <c r="S69" s="201">
        <f t="shared" si="79"/>
        <v>249.60000000000002</v>
      </c>
      <c r="T69" s="201">
        <f t="shared" si="79"/>
        <v>249.60000000000002</v>
      </c>
      <c r="U69" s="202">
        <f t="shared" si="79"/>
        <v>4742.4000000000005</v>
      </c>
      <c r="V69" s="161"/>
      <c r="W69" s="168"/>
    </row>
    <row r="70" spans="1:66" s="78" customFormat="1" x14ac:dyDescent="0.35">
      <c r="A70" s="190" t="s">
        <v>22</v>
      </c>
      <c r="B70" s="218">
        <f>B66*0.14</f>
        <v>89.600000000000009</v>
      </c>
      <c r="C70" s="201">
        <f t="shared" ref="C70:U70" si="80">C66*0.14</f>
        <v>89.600000000000009</v>
      </c>
      <c r="D70" s="201">
        <f t="shared" si="80"/>
        <v>89.600000000000009</v>
      </c>
      <c r="E70" s="201">
        <f t="shared" si="80"/>
        <v>89.600000000000009</v>
      </c>
      <c r="F70" s="201">
        <f t="shared" si="80"/>
        <v>89.600000000000009</v>
      </c>
      <c r="G70" s="201">
        <f t="shared" si="80"/>
        <v>89.600000000000009</v>
      </c>
      <c r="H70" s="218">
        <f t="shared" si="80"/>
        <v>89.600000000000009</v>
      </c>
      <c r="I70" s="201">
        <f t="shared" si="80"/>
        <v>89.600000000000009</v>
      </c>
      <c r="J70" s="201">
        <f t="shared" si="80"/>
        <v>89.600000000000009</v>
      </c>
      <c r="K70" s="201">
        <f t="shared" si="80"/>
        <v>89.600000000000009</v>
      </c>
      <c r="L70" s="201">
        <f t="shared" si="80"/>
        <v>89.600000000000009</v>
      </c>
      <c r="M70" s="218">
        <f t="shared" si="80"/>
        <v>89.600000000000009</v>
      </c>
      <c r="N70" s="201">
        <f t="shared" si="80"/>
        <v>89.600000000000009</v>
      </c>
      <c r="O70" s="201">
        <f t="shared" si="80"/>
        <v>89.600000000000009</v>
      </c>
      <c r="P70" s="201">
        <f t="shared" si="80"/>
        <v>89.600000000000009</v>
      </c>
      <c r="Q70" s="201">
        <f t="shared" si="80"/>
        <v>89.600000000000009</v>
      </c>
      <c r="R70" s="201">
        <f t="shared" si="80"/>
        <v>89.600000000000009</v>
      </c>
      <c r="S70" s="201">
        <f t="shared" si="80"/>
        <v>89.600000000000009</v>
      </c>
      <c r="T70" s="201">
        <f t="shared" si="80"/>
        <v>89.600000000000009</v>
      </c>
      <c r="U70" s="202">
        <f t="shared" si="80"/>
        <v>1702.4</v>
      </c>
      <c r="V70" s="162"/>
      <c r="W70" s="168"/>
      <c r="X70" s="147"/>
      <c r="Y70" s="168"/>
      <c r="Z70" s="168"/>
      <c r="AA70" s="168"/>
      <c r="AB70" s="168"/>
      <c r="AC70" s="168"/>
      <c r="AD70" s="168"/>
      <c r="AE70" s="168"/>
      <c r="AF70" s="168"/>
      <c r="AG70" s="168"/>
      <c r="AH70" s="168"/>
      <c r="AI70" s="168"/>
      <c r="AJ70" s="151"/>
      <c r="AK70" s="168"/>
      <c r="AL70" s="168"/>
      <c r="AM70" s="168"/>
      <c r="AN70" s="151"/>
      <c r="AO70" s="168"/>
      <c r="AP70" s="168"/>
      <c r="AQ70" s="168"/>
      <c r="AR70" s="168"/>
      <c r="AS70" s="168"/>
      <c r="AT70" s="168"/>
      <c r="AU70" s="168"/>
      <c r="AV70" s="168"/>
      <c r="AW70" s="168"/>
      <c r="AX70" s="168"/>
      <c r="AY70" s="168"/>
      <c r="AZ70" s="168"/>
      <c r="BA70" s="168"/>
      <c r="BB70" s="168"/>
      <c r="BC70" s="168"/>
      <c r="BD70" s="168"/>
      <c r="BE70" s="168"/>
      <c r="BF70" s="168"/>
      <c r="BG70" s="168"/>
      <c r="BH70" s="168"/>
      <c r="BI70" s="168"/>
      <c r="BJ70" s="168"/>
      <c r="BK70" s="168"/>
      <c r="BL70" s="168"/>
      <c r="BM70" s="168"/>
      <c r="BN70" s="168"/>
    </row>
    <row r="71" spans="1:66" s="77" customFormat="1" ht="15" thickBot="1" x14ac:dyDescent="0.4">
      <c r="A71" s="179"/>
      <c r="B71" s="212"/>
      <c r="C71" s="179"/>
      <c r="D71" s="179"/>
      <c r="E71" s="179"/>
      <c r="F71" s="179"/>
      <c r="G71" s="179"/>
      <c r="H71" s="212"/>
      <c r="I71" s="179"/>
      <c r="J71" s="179"/>
      <c r="K71" s="179"/>
      <c r="L71" s="179"/>
      <c r="M71" s="212"/>
      <c r="N71" s="179"/>
      <c r="O71" s="179"/>
      <c r="P71" s="179"/>
      <c r="Q71" s="179"/>
      <c r="R71" s="179"/>
      <c r="S71" s="179"/>
      <c r="T71" s="179"/>
      <c r="U71" s="179"/>
      <c r="V71" s="163"/>
      <c r="W71" s="168"/>
      <c r="X71" s="147"/>
      <c r="Y71" s="168"/>
      <c r="Z71" s="168"/>
      <c r="AA71" s="168"/>
      <c r="AB71" s="168"/>
      <c r="AC71" s="168"/>
      <c r="AD71" s="168"/>
      <c r="AE71" s="168"/>
      <c r="AF71" s="168"/>
      <c r="AG71" s="168"/>
      <c r="AH71" s="168"/>
      <c r="AI71" s="168"/>
      <c r="AJ71" s="151"/>
      <c r="AK71" s="168"/>
      <c r="AL71" s="168"/>
      <c r="AM71" s="168"/>
      <c r="AN71" s="151"/>
      <c r="AO71" s="168"/>
      <c r="AP71" s="168"/>
      <c r="AQ71" s="168"/>
      <c r="AR71" s="168"/>
      <c r="AS71" s="168"/>
      <c r="AT71" s="168"/>
      <c r="AU71" s="168"/>
      <c r="AV71" s="168"/>
      <c r="AW71" s="168"/>
      <c r="AX71" s="168"/>
      <c r="AY71" s="168"/>
      <c r="AZ71" s="168"/>
      <c r="BA71" s="168"/>
      <c r="BB71" s="168"/>
      <c r="BC71" s="168"/>
      <c r="BD71" s="168"/>
      <c r="BE71" s="168"/>
      <c r="BF71" s="168"/>
      <c r="BG71" s="168"/>
      <c r="BH71" s="168"/>
      <c r="BI71" s="168"/>
      <c r="BJ71" s="168"/>
      <c r="BK71" s="168"/>
      <c r="BL71" s="168"/>
      <c r="BM71" s="168"/>
      <c r="BN71" s="168"/>
    </row>
    <row r="72" spans="1:66" s="77" customFormat="1" x14ac:dyDescent="0.35">
      <c r="A72" s="191" t="s">
        <v>55</v>
      </c>
      <c r="B72" s="213"/>
      <c r="C72" s="192"/>
      <c r="D72" s="192"/>
      <c r="E72" s="192"/>
      <c r="F72" s="192"/>
      <c r="G72" s="192"/>
      <c r="H72" s="213"/>
      <c r="I72" s="192"/>
      <c r="J72" s="192"/>
      <c r="K72" s="192"/>
      <c r="L72" s="192"/>
      <c r="M72" s="213"/>
      <c r="N72" s="192"/>
      <c r="O72" s="192"/>
      <c r="P72" s="192"/>
      <c r="Q72" s="192"/>
      <c r="R72" s="192"/>
      <c r="S72" s="192"/>
      <c r="T72" s="192"/>
      <c r="U72" s="192"/>
      <c r="V72" s="162"/>
      <c r="W72" s="168"/>
      <c r="X72" s="147"/>
      <c r="Y72" s="168"/>
      <c r="Z72" s="168"/>
      <c r="AA72" s="168"/>
      <c r="AB72" s="168"/>
      <c r="AC72" s="168"/>
      <c r="AD72" s="168"/>
      <c r="AE72" s="168"/>
      <c r="AF72" s="168"/>
      <c r="AG72" s="168"/>
      <c r="AH72" s="168"/>
      <c r="AI72" s="168"/>
      <c r="AJ72" s="151"/>
      <c r="AK72" s="168"/>
      <c r="AL72" s="168"/>
      <c r="AM72" s="168"/>
      <c r="AN72" s="151"/>
      <c r="AO72" s="168"/>
      <c r="AP72" s="168"/>
      <c r="AQ72" s="168"/>
      <c r="AR72" s="168"/>
      <c r="AS72" s="168"/>
      <c r="AT72" s="168"/>
      <c r="AU72" s="168"/>
      <c r="AV72" s="168"/>
      <c r="AW72" s="168"/>
      <c r="AX72" s="168"/>
      <c r="AY72" s="168"/>
      <c r="AZ72" s="168"/>
      <c r="BA72" s="168"/>
      <c r="BB72" s="168"/>
      <c r="BC72" s="168"/>
      <c r="BD72" s="168"/>
      <c r="BE72" s="168"/>
      <c r="BF72" s="168"/>
      <c r="BG72" s="168"/>
      <c r="BH72" s="168"/>
      <c r="BI72" s="168"/>
      <c r="BJ72" s="168"/>
      <c r="BK72" s="168"/>
      <c r="BL72" s="168"/>
      <c r="BM72" s="168"/>
      <c r="BN72" s="168"/>
    </row>
    <row r="73" spans="1:66" s="77" customFormat="1" ht="15" thickBot="1" x14ac:dyDescent="0.4">
      <c r="A73" s="193" t="s">
        <v>112</v>
      </c>
      <c r="B73" s="214">
        <f>(30*(B67*$AH$17)+(B68*$AH$18)+(B69*$AH$19)+(B70*$AH$20))+'reference data- 2'!B70</f>
        <v>3629777.6488461574</v>
      </c>
      <c r="C73" s="214">
        <f>(30*(C67*$AH$17)+(C68*$AH$18)+(C69*$AH$19)+(C70*$AH$20))+'reference data- 2'!C70</f>
        <v>3629777.6488461574</v>
      </c>
      <c r="D73" s="214">
        <f>(30*(D67*$AH$17)+(D68*$AH$18)+(D69*$AH$19)+(D70*$AH$20))+'reference data- 2'!D70</f>
        <v>3629777.6488461574</v>
      </c>
      <c r="E73" s="214">
        <f>(30*(E67*$AH$17)+(E68*$AH$18)+(E69*$AH$19)+(E70*$AH$20))+'reference data- 2'!E70</f>
        <v>3629777.6488461574</v>
      </c>
      <c r="F73" s="214">
        <f>(30*(F67*$AH$17)+(F68*$AH$18)+(F69*$AH$19)+(F70*$AH$20))+'reference data- 2'!F70</f>
        <v>3629777.6488461574</v>
      </c>
      <c r="G73" s="214">
        <f>(30*(G67*$AH$17)+(G68*$AH$18)+(G69*$AH$19)+(G70*$AH$20))+'reference data- 2'!G70</f>
        <v>3629777.6488461574</v>
      </c>
      <c r="H73" s="214">
        <f>(30*(H67*$AL$17)+(H68*$AL$18)+(H69*$AL$19)+(H70*$AL$20))+'reference data- 2'!H70</f>
        <v>3515086.8542040316</v>
      </c>
      <c r="I73" s="214">
        <f>(30*(I67*$AL$17)+(I68*$AL$18)+(I69*$AL$19)+(I70*$AL$20))+'reference data- 2'!I70</f>
        <v>3515086.8542040316</v>
      </c>
      <c r="J73" s="214">
        <f>(30*(J67*$AL$17)+(J68*$AL$18)+(J69*$AL$19)+(J70*$AL$20))+'reference data- 2'!J70</f>
        <v>3515086.8542040316</v>
      </c>
      <c r="K73" s="214">
        <f>(30*(K67*$AL$17)+(K68*$AL$18)+(K69*$AL$19)+(K70*$AL$20))+'reference data- 2'!K70</f>
        <v>3515086.8542040316</v>
      </c>
      <c r="L73" s="214">
        <f>(30*(L67*$AL$17)+(L68*$AL$18)+(L69*$AL$19)+(L70*$AL$20))+'reference data- 2'!L70</f>
        <v>3515086.8542040316</v>
      </c>
      <c r="M73" s="214">
        <f>(30*(M67*$AP$17)+(M68*$AP$18)+(M69*$AP$19)+(M70*$AP$20))+'reference data- 2'!M70</f>
        <v>3150161.5985245444</v>
      </c>
      <c r="N73" s="214">
        <f>(30*(N67*$AP$17)+(N68*$AP$18)+(N69*$AP$19)+(N70*$AP$20))+'reference data- 2'!N70</f>
        <v>3150161.5985245444</v>
      </c>
      <c r="O73" s="214">
        <f>(30*(O67*$AP$17)+(O68*$AP$18)+(O69*$AP$19)+(O70*$AP$20))+'reference data- 2'!O70</f>
        <v>3150161.5985245444</v>
      </c>
      <c r="P73" s="214">
        <f>(30*(P67*$AP$17)+(P68*$AP$18)+(P69*$AP$19)+(P70*$AP$20))+'reference data- 2'!P70</f>
        <v>3150161.5985245444</v>
      </c>
      <c r="Q73" s="214">
        <f>(30*(Q67*$AP$17)+(Q68*$AP$18)+(Q69*$AP$19)+(Q70*$AP$20))+'reference data- 2'!Q70</f>
        <v>3150161.5985245444</v>
      </c>
      <c r="R73" s="214">
        <f>(30*(R67*$AP$17)+(R68*$AP$18)+(R69*$AP$19)+(R70*$AP$20))+'reference data- 2'!R70</f>
        <v>3150161.5985245444</v>
      </c>
      <c r="S73" s="214">
        <f>(30*(S67*$AP$17)+(S68*$AP$18)+(S69*$AP$19)+(S70*$AP$20))+'reference data- 2'!S70</f>
        <v>3150161.5985245444</v>
      </c>
      <c r="T73" s="214">
        <f>(30*(T67*$AP$17)+(T68*$AP$18)+(T69*$AP$19)+(T70*$AP$20))+'reference data- 2'!T70</f>
        <v>3150161.5985245444</v>
      </c>
      <c r="U73" s="194">
        <f>SUM(B73:T73)</f>
        <v>64555392.952293426</v>
      </c>
      <c r="V73" s="164"/>
      <c r="W73" s="168"/>
      <c r="X73" s="147"/>
      <c r="Y73" s="168"/>
      <c r="Z73" s="168"/>
      <c r="AA73" s="168"/>
      <c r="AB73" s="168"/>
      <c r="AC73" s="168"/>
      <c r="AD73" s="168"/>
      <c r="AE73" s="168"/>
      <c r="AF73" s="168"/>
      <c r="AG73" s="168"/>
      <c r="AH73" s="168"/>
      <c r="AI73" s="168"/>
      <c r="AJ73" s="151"/>
      <c r="AK73" s="168"/>
      <c r="AL73" s="168"/>
      <c r="AM73" s="168"/>
      <c r="AN73" s="151"/>
      <c r="AO73" s="168"/>
      <c r="AP73" s="168"/>
      <c r="AQ73" s="168"/>
      <c r="AR73" s="168"/>
      <c r="AS73" s="168"/>
      <c r="AT73" s="168"/>
      <c r="AU73" s="168"/>
      <c r="AV73" s="168"/>
      <c r="AW73" s="168"/>
      <c r="AX73" s="168"/>
      <c r="AY73" s="168"/>
      <c r="AZ73" s="168"/>
      <c r="BA73" s="168"/>
      <c r="BB73" s="168"/>
      <c r="BC73" s="168"/>
      <c r="BD73" s="168"/>
      <c r="BE73" s="168"/>
      <c r="BF73" s="168"/>
      <c r="BG73" s="168"/>
      <c r="BH73" s="168"/>
      <c r="BI73" s="168"/>
      <c r="BJ73" s="168"/>
      <c r="BK73" s="168"/>
      <c r="BL73" s="168"/>
      <c r="BM73" s="168"/>
      <c r="BN73" s="168"/>
    </row>
    <row r="74" spans="1:66" s="155" customFormat="1" ht="15" thickBot="1" x14ac:dyDescent="0.4">
      <c r="A74" s="193" t="s">
        <v>113</v>
      </c>
      <c r="B74" s="214">
        <f>B73/1000</f>
        <v>3629.7776488461573</v>
      </c>
      <c r="C74" s="214">
        <f t="shared" ref="C74" si="81">C73/1000</f>
        <v>3629.7776488461573</v>
      </c>
      <c r="D74" s="214">
        <f t="shared" ref="D74" si="82">D73/1000</f>
        <v>3629.7776488461573</v>
      </c>
      <c r="E74" s="214">
        <f t="shared" ref="E74" si="83">E73/1000</f>
        <v>3629.7776488461573</v>
      </c>
      <c r="F74" s="214">
        <f t="shared" ref="F74" si="84">F73/1000</f>
        <v>3629.7776488461573</v>
      </c>
      <c r="G74" s="214">
        <f t="shared" ref="G74" si="85">G73/1000</f>
        <v>3629.7776488461573</v>
      </c>
      <c r="H74" s="214">
        <f t="shared" ref="H74" si="86">H73/1000</f>
        <v>3515.0868542040316</v>
      </c>
      <c r="I74" s="214">
        <f t="shared" ref="I74" si="87">I73/1000</f>
        <v>3515.0868542040316</v>
      </c>
      <c r="J74" s="214">
        <f t="shared" ref="J74" si="88">J73/1000</f>
        <v>3515.0868542040316</v>
      </c>
      <c r="K74" s="214">
        <f t="shared" ref="K74" si="89">K73/1000</f>
        <v>3515.0868542040316</v>
      </c>
      <c r="L74" s="214">
        <f t="shared" ref="L74" si="90">L73/1000</f>
        <v>3515.0868542040316</v>
      </c>
      <c r="M74" s="214">
        <f t="shared" ref="M74" si="91">M73/1000</f>
        <v>3150.1615985245444</v>
      </c>
      <c r="N74" s="214">
        <f t="shared" ref="N74" si="92">N73/1000</f>
        <v>3150.1615985245444</v>
      </c>
      <c r="O74" s="214">
        <f t="shared" ref="O74" si="93">O73/1000</f>
        <v>3150.1615985245444</v>
      </c>
      <c r="P74" s="214">
        <f t="shared" ref="P74" si="94">P73/1000</f>
        <v>3150.1615985245444</v>
      </c>
      <c r="Q74" s="214">
        <f t="shared" ref="Q74" si="95">Q73/1000</f>
        <v>3150.1615985245444</v>
      </c>
      <c r="R74" s="214">
        <f t="shared" ref="R74" si="96">R73/1000</f>
        <v>3150.1615985245444</v>
      </c>
      <c r="S74" s="214">
        <f t="shared" ref="S74" si="97">S73/1000</f>
        <v>3150.1615985245444</v>
      </c>
      <c r="T74" s="214">
        <f t="shared" ref="T74" si="98">T73/1000</f>
        <v>3150.1615985245444</v>
      </c>
      <c r="U74" s="214">
        <f t="shared" ref="U74" si="99">U73/1000</f>
        <v>64555.392952293427</v>
      </c>
      <c r="V74" s="164"/>
      <c r="W74" s="168"/>
      <c r="X74" s="147"/>
      <c r="Y74" s="168"/>
      <c r="Z74" s="168"/>
      <c r="AA74" s="168"/>
      <c r="AB74" s="168"/>
      <c r="AC74" s="168"/>
      <c r="AD74" s="168"/>
      <c r="AE74" s="168"/>
      <c r="AF74" s="168"/>
      <c r="AG74" s="168"/>
      <c r="AH74" s="168"/>
      <c r="AI74" s="168"/>
      <c r="AJ74" s="151"/>
      <c r="AK74" s="168"/>
      <c r="AL74" s="168"/>
      <c r="AM74" s="168"/>
      <c r="AN74" s="151"/>
      <c r="AO74" s="168"/>
      <c r="AP74" s="168"/>
      <c r="AQ74" s="168"/>
      <c r="AR74" s="168"/>
      <c r="AS74" s="168"/>
      <c r="AT74" s="168"/>
      <c r="AU74" s="168"/>
      <c r="AV74" s="168"/>
      <c r="AW74" s="168"/>
      <c r="AX74" s="168"/>
      <c r="AY74" s="168"/>
      <c r="AZ74" s="168"/>
      <c r="BA74" s="168"/>
      <c r="BB74" s="168"/>
      <c r="BC74" s="168"/>
      <c r="BD74" s="168"/>
      <c r="BE74" s="168"/>
      <c r="BF74" s="168"/>
      <c r="BG74" s="168"/>
      <c r="BH74" s="168"/>
      <c r="BI74" s="168"/>
      <c r="BJ74" s="168"/>
      <c r="BK74" s="168"/>
      <c r="BL74" s="168"/>
      <c r="BM74" s="168"/>
      <c r="BN74" s="168"/>
    </row>
    <row r="75" spans="1:66" s="79" customFormat="1" ht="15" thickBot="1" x14ac:dyDescent="0.4">
      <c r="A75" s="193" t="s">
        <v>64</v>
      </c>
      <c r="B75" s="215">
        <f>B74*144</f>
        <v>522687.98143384664</v>
      </c>
      <c r="C75" s="215">
        <f t="shared" ref="C75:U75" si="100">C74*144</f>
        <v>522687.98143384664</v>
      </c>
      <c r="D75" s="215">
        <f t="shared" si="100"/>
        <v>522687.98143384664</v>
      </c>
      <c r="E75" s="215">
        <f t="shared" si="100"/>
        <v>522687.98143384664</v>
      </c>
      <c r="F75" s="215">
        <f t="shared" si="100"/>
        <v>522687.98143384664</v>
      </c>
      <c r="G75" s="215">
        <f t="shared" si="100"/>
        <v>522687.98143384664</v>
      </c>
      <c r="H75" s="215">
        <f t="shared" si="100"/>
        <v>506172.50700538058</v>
      </c>
      <c r="I75" s="215">
        <f t="shared" si="100"/>
        <v>506172.50700538058</v>
      </c>
      <c r="J75" s="215">
        <f t="shared" si="100"/>
        <v>506172.50700538058</v>
      </c>
      <c r="K75" s="215">
        <f t="shared" si="100"/>
        <v>506172.50700538058</v>
      </c>
      <c r="L75" s="215">
        <f t="shared" si="100"/>
        <v>506172.50700538058</v>
      </c>
      <c r="M75" s="215">
        <f t="shared" si="100"/>
        <v>453623.27018753439</v>
      </c>
      <c r="N75" s="215">
        <f t="shared" si="100"/>
        <v>453623.27018753439</v>
      </c>
      <c r="O75" s="215">
        <f t="shared" si="100"/>
        <v>453623.27018753439</v>
      </c>
      <c r="P75" s="215">
        <f t="shared" si="100"/>
        <v>453623.27018753439</v>
      </c>
      <c r="Q75" s="215">
        <f t="shared" si="100"/>
        <v>453623.27018753439</v>
      </c>
      <c r="R75" s="215">
        <f t="shared" si="100"/>
        <v>453623.27018753439</v>
      </c>
      <c r="S75" s="215">
        <f t="shared" si="100"/>
        <v>453623.27018753439</v>
      </c>
      <c r="T75" s="215">
        <f t="shared" si="100"/>
        <v>453623.27018753439</v>
      </c>
      <c r="U75" s="215">
        <f t="shared" si="100"/>
        <v>9295976.5851302538</v>
      </c>
      <c r="V75" s="159"/>
      <c r="W75" s="168"/>
      <c r="X75" s="147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51"/>
      <c r="AK75" s="168"/>
      <c r="AL75" s="168"/>
      <c r="AM75" s="168"/>
      <c r="AN75" s="151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</row>
    <row r="76" spans="1:66" x14ac:dyDescent="0.35">
      <c r="A76" s="193"/>
      <c r="B76" s="213"/>
      <c r="C76" s="196"/>
      <c r="D76" s="194"/>
      <c r="E76" s="194"/>
      <c r="F76" s="194"/>
      <c r="G76" s="194"/>
      <c r="H76" s="214"/>
      <c r="I76" s="194"/>
      <c r="J76" s="194"/>
      <c r="K76" s="194"/>
      <c r="L76" s="194"/>
      <c r="M76" s="214"/>
      <c r="N76" s="194"/>
      <c r="O76" s="194"/>
      <c r="P76" s="194"/>
      <c r="Q76" s="194"/>
      <c r="R76" s="194"/>
      <c r="S76" s="194"/>
      <c r="T76" s="194"/>
      <c r="U76" s="194"/>
      <c r="V76" s="159"/>
      <c r="W76" s="168"/>
    </row>
    <row r="77" spans="1:66" ht="15" thickBot="1" x14ac:dyDescent="0.4">
      <c r="A77" s="197"/>
      <c r="B77" s="216"/>
      <c r="C77" s="198"/>
      <c r="D77" s="198"/>
      <c r="E77" s="198"/>
      <c r="F77" s="198"/>
      <c r="G77" s="198"/>
      <c r="H77" s="216"/>
      <c r="I77" s="198"/>
      <c r="J77" s="198"/>
      <c r="K77" s="198"/>
      <c r="L77" s="198"/>
      <c r="M77" s="216"/>
      <c r="N77" s="198"/>
      <c r="O77" s="198"/>
      <c r="P77" s="198"/>
      <c r="Q77" s="198"/>
      <c r="R77" s="198"/>
      <c r="S77" s="198"/>
      <c r="T77" s="198"/>
      <c r="U77" s="198"/>
      <c r="V77" s="159"/>
      <c r="W77" s="168"/>
    </row>
    <row r="78" spans="1:66" x14ac:dyDescent="0.35">
      <c r="A78" s="187"/>
      <c r="B78" s="212"/>
      <c r="C78" s="179"/>
      <c r="D78" s="179"/>
      <c r="E78" s="179"/>
      <c r="F78" s="179"/>
      <c r="G78" s="179"/>
      <c r="H78" s="212"/>
      <c r="I78" s="179"/>
      <c r="J78" s="179"/>
      <c r="K78" s="179"/>
      <c r="L78" s="179"/>
      <c r="M78" s="212"/>
      <c r="N78" s="179"/>
      <c r="O78" s="179"/>
      <c r="P78" s="179"/>
      <c r="Q78" s="179"/>
      <c r="R78" s="179"/>
      <c r="S78" s="179"/>
      <c r="T78" s="179"/>
      <c r="U78" s="179"/>
      <c r="V78" s="160"/>
      <c r="W78" s="168"/>
    </row>
    <row r="79" spans="1:66" x14ac:dyDescent="0.35">
      <c r="A79" s="187"/>
      <c r="B79" s="212"/>
      <c r="C79" s="179"/>
      <c r="D79" s="179"/>
      <c r="E79" s="179"/>
      <c r="F79" s="179"/>
      <c r="G79" s="179"/>
      <c r="H79" s="212"/>
      <c r="I79" s="179"/>
      <c r="J79" s="179"/>
      <c r="K79" s="179"/>
      <c r="L79" s="179"/>
      <c r="M79" s="212"/>
      <c r="N79" s="179"/>
      <c r="O79" s="179"/>
      <c r="P79" s="179"/>
      <c r="Q79" s="179"/>
      <c r="R79" s="179"/>
      <c r="S79" s="179"/>
      <c r="T79" s="179"/>
      <c r="U79" s="179"/>
      <c r="V79" s="159"/>
      <c r="W79" s="168"/>
    </row>
    <row r="80" spans="1:66" x14ac:dyDescent="0.35">
      <c r="A80" s="180" t="s">
        <v>0</v>
      </c>
      <c r="B80" s="209" t="s">
        <v>1</v>
      </c>
      <c r="C80" s="181" t="s">
        <v>2</v>
      </c>
      <c r="D80" s="182" t="s">
        <v>3</v>
      </c>
      <c r="E80" s="182" t="s">
        <v>4</v>
      </c>
      <c r="F80" s="182" t="s">
        <v>5</v>
      </c>
      <c r="G80" s="182" t="s">
        <v>6</v>
      </c>
      <c r="H80" s="209" t="s">
        <v>7</v>
      </c>
      <c r="I80" s="182" t="s">
        <v>8</v>
      </c>
      <c r="J80" s="182" t="s">
        <v>9</v>
      </c>
      <c r="K80" s="182" t="s">
        <v>10</v>
      </c>
      <c r="L80" s="182" t="s">
        <v>11</v>
      </c>
      <c r="M80" s="209" t="s">
        <v>12</v>
      </c>
      <c r="N80" s="182" t="s">
        <v>13</v>
      </c>
      <c r="O80" s="182" t="s">
        <v>14</v>
      </c>
      <c r="P80" s="182" t="s">
        <v>15</v>
      </c>
      <c r="Q80" s="182" t="s">
        <v>16</v>
      </c>
      <c r="R80" s="183" t="s">
        <v>17</v>
      </c>
      <c r="S80" s="184" t="s">
        <v>23</v>
      </c>
      <c r="T80" s="184" t="s">
        <v>24</v>
      </c>
      <c r="U80" s="185" t="s">
        <v>18</v>
      </c>
      <c r="V80" s="159"/>
      <c r="W80" s="168"/>
    </row>
    <row r="81" spans="1:66" x14ac:dyDescent="0.35">
      <c r="A81" s="154" t="s">
        <v>31</v>
      </c>
      <c r="B81" s="217">
        <v>1720</v>
      </c>
      <c r="C81" s="199">
        <v>1720</v>
      </c>
      <c r="D81" s="199">
        <v>1720</v>
      </c>
      <c r="E81" s="199">
        <v>1720</v>
      </c>
      <c r="F81" s="199">
        <v>1720</v>
      </c>
      <c r="G81" s="199">
        <v>1720</v>
      </c>
      <c r="H81" s="217">
        <v>1720</v>
      </c>
      <c r="I81" s="199">
        <v>1720</v>
      </c>
      <c r="J81" s="199">
        <v>1720</v>
      </c>
      <c r="K81" s="199">
        <v>1720</v>
      </c>
      <c r="L81" s="199">
        <v>1720</v>
      </c>
      <c r="M81" s="217">
        <v>1720</v>
      </c>
      <c r="N81" s="199">
        <v>1720</v>
      </c>
      <c r="O81" s="199">
        <v>1720</v>
      </c>
      <c r="P81" s="199">
        <v>1720</v>
      </c>
      <c r="Q81" s="199">
        <v>1720</v>
      </c>
      <c r="R81" s="199">
        <v>1720</v>
      </c>
      <c r="S81" s="199">
        <v>1720</v>
      </c>
      <c r="T81" s="199">
        <v>1720</v>
      </c>
      <c r="U81" s="200">
        <v>32680</v>
      </c>
      <c r="V81" s="159"/>
      <c r="W81" s="168"/>
    </row>
    <row r="82" spans="1:66" x14ac:dyDescent="0.35">
      <c r="A82" s="187" t="s">
        <v>20</v>
      </c>
      <c r="B82" s="218">
        <f>B81*0.11</f>
        <v>189.2</v>
      </c>
      <c r="C82" s="201">
        <f t="shared" ref="C82:U82" si="101">C81*0.11</f>
        <v>189.2</v>
      </c>
      <c r="D82" s="201">
        <f t="shared" si="101"/>
        <v>189.2</v>
      </c>
      <c r="E82" s="201">
        <f t="shared" si="101"/>
        <v>189.2</v>
      </c>
      <c r="F82" s="201">
        <f t="shared" si="101"/>
        <v>189.2</v>
      </c>
      <c r="G82" s="201">
        <f t="shared" si="101"/>
        <v>189.2</v>
      </c>
      <c r="H82" s="218">
        <f t="shared" si="101"/>
        <v>189.2</v>
      </c>
      <c r="I82" s="201">
        <f t="shared" si="101"/>
        <v>189.2</v>
      </c>
      <c r="J82" s="201">
        <f t="shared" si="101"/>
        <v>189.2</v>
      </c>
      <c r="K82" s="201">
        <f t="shared" si="101"/>
        <v>189.2</v>
      </c>
      <c r="L82" s="201">
        <f t="shared" si="101"/>
        <v>189.2</v>
      </c>
      <c r="M82" s="218">
        <f t="shared" si="101"/>
        <v>189.2</v>
      </c>
      <c r="N82" s="201">
        <f t="shared" si="101"/>
        <v>189.2</v>
      </c>
      <c r="O82" s="201">
        <f t="shared" si="101"/>
        <v>189.2</v>
      </c>
      <c r="P82" s="201">
        <f t="shared" si="101"/>
        <v>189.2</v>
      </c>
      <c r="Q82" s="201">
        <f t="shared" si="101"/>
        <v>189.2</v>
      </c>
      <c r="R82" s="201">
        <f t="shared" si="101"/>
        <v>189.2</v>
      </c>
      <c r="S82" s="201">
        <f t="shared" si="101"/>
        <v>189.2</v>
      </c>
      <c r="T82" s="201">
        <f t="shared" si="101"/>
        <v>189.2</v>
      </c>
      <c r="U82" s="202">
        <f t="shared" si="101"/>
        <v>3594.8</v>
      </c>
      <c r="V82" s="167"/>
      <c r="W82" s="168"/>
    </row>
    <row r="83" spans="1:66" s="80" customFormat="1" ht="15" thickBot="1" x14ac:dyDescent="0.4">
      <c r="A83" s="187" t="s">
        <v>21</v>
      </c>
      <c r="B83" s="218">
        <f>B81*0.28</f>
        <v>481.6</v>
      </c>
      <c r="C83" s="201">
        <f t="shared" ref="C83:U83" si="102">C81*0.28</f>
        <v>481.6</v>
      </c>
      <c r="D83" s="201">
        <f t="shared" si="102"/>
        <v>481.6</v>
      </c>
      <c r="E83" s="201">
        <f t="shared" si="102"/>
        <v>481.6</v>
      </c>
      <c r="F83" s="201">
        <f t="shared" si="102"/>
        <v>481.6</v>
      </c>
      <c r="G83" s="201">
        <f t="shared" si="102"/>
        <v>481.6</v>
      </c>
      <c r="H83" s="218">
        <f t="shared" si="102"/>
        <v>481.6</v>
      </c>
      <c r="I83" s="201">
        <f t="shared" si="102"/>
        <v>481.6</v>
      </c>
      <c r="J83" s="201">
        <f t="shared" si="102"/>
        <v>481.6</v>
      </c>
      <c r="K83" s="201">
        <f t="shared" si="102"/>
        <v>481.6</v>
      </c>
      <c r="L83" s="201">
        <f t="shared" si="102"/>
        <v>481.6</v>
      </c>
      <c r="M83" s="218">
        <f t="shared" si="102"/>
        <v>481.6</v>
      </c>
      <c r="N83" s="201">
        <f t="shared" si="102"/>
        <v>481.6</v>
      </c>
      <c r="O83" s="201">
        <f t="shared" si="102"/>
        <v>481.6</v>
      </c>
      <c r="P83" s="201">
        <f t="shared" si="102"/>
        <v>481.6</v>
      </c>
      <c r="Q83" s="201">
        <f t="shared" si="102"/>
        <v>481.6</v>
      </c>
      <c r="R83" s="201">
        <f t="shared" si="102"/>
        <v>481.6</v>
      </c>
      <c r="S83" s="201">
        <f t="shared" si="102"/>
        <v>481.6</v>
      </c>
      <c r="T83" s="201">
        <f t="shared" si="102"/>
        <v>481.6</v>
      </c>
      <c r="U83" s="202">
        <f t="shared" si="102"/>
        <v>9150.4000000000015</v>
      </c>
      <c r="V83" s="159"/>
      <c r="W83" s="168"/>
      <c r="X83" s="147"/>
      <c r="Y83" s="168"/>
      <c r="Z83" s="168"/>
      <c r="AA83" s="168"/>
      <c r="AB83" s="168"/>
      <c r="AC83" s="168"/>
      <c r="AD83" s="168"/>
      <c r="AE83" s="168"/>
      <c r="AF83" s="168"/>
      <c r="AG83" s="168"/>
      <c r="AH83" s="168"/>
      <c r="AI83" s="168"/>
      <c r="AJ83" s="151"/>
      <c r="AK83" s="168"/>
      <c r="AL83" s="168"/>
      <c r="AM83" s="168"/>
      <c r="AN83" s="151"/>
      <c r="AO83" s="168"/>
      <c r="AP83" s="168"/>
      <c r="AQ83" s="168"/>
      <c r="AR83" s="168"/>
      <c r="AS83" s="168"/>
      <c r="AT83" s="168"/>
      <c r="AU83" s="168"/>
      <c r="AV83" s="168"/>
      <c r="AW83" s="168"/>
      <c r="AX83" s="168"/>
      <c r="AY83" s="168"/>
      <c r="AZ83" s="168"/>
      <c r="BA83" s="168"/>
      <c r="BB83" s="168"/>
      <c r="BC83" s="168"/>
      <c r="BD83" s="168"/>
      <c r="BE83" s="168"/>
      <c r="BF83" s="168"/>
      <c r="BG83" s="168"/>
      <c r="BH83" s="168"/>
      <c r="BI83" s="168"/>
      <c r="BJ83" s="168"/>
      <c r="BK83" s="168"/>
      <c r="BL83" s="168"/>
      <c r="BM83" s="168"/>
      <c r="BN83" s="168"/>
    </row>
    <row r="84" spans="1:66" ht="15" thickBot="1" x14ac:dyDescent="0.4">
      <c r="A84" s="187" t="s">
        <v>26</v>
      </c>
      <c r="B84" s="218">
        <f>B81*0.31</f>
        <v>533.20000000000005</v>
      </c>
      <c r="C84" s="201">
        <f t="shared" ref="C84:U84" si="103">C81*0.31</f>
        <v>533.20000000000005</v>
      </c>
      <c r="D84" s="201">
        <f t="shared" si="103"/>
        <v>533.20000000000005</v>
      </c>
      <c r="E84" s="201">
        <f t="shared" si="103"/>
        <v>533.20000000000005</v>
      </c>
      <c r="F84" s="201">
        <f t="shared" si="103"/>
        <v>533.20000000000005</v>
      </c>
      <c r="G84" s="201">
        <f t="shared" si="103"/>
        <v>533.20000000000005</v>
      </c>
      <c r="H84" s="218">
        <f t="shared" si="103"/>
        <v>533.20000000000005</v>
      </c>
      <c r="I84" s="201">
        <f t="shared" si="103"/>
        <v>533.20000000000005</v>
      </c>
      <c r="J84" s="201">
        <f t="shared" si="103"/>
        <v>533.20000000000005</v>
      </c>
      <c r="K84" s="201">
        <f t="shared" si="103"/>
        <v>533.20000000000005</v>
      </c>
      <c r="L84" s="201">
        <f t="shared" si="103"/>
        <v>533.20000000000005</v>
      </c>
      <c r="M84" s="218">
        <f t="shared" si="103"/>
        <v>533.20000000000005</v>
      </c>
      <c r="N84" s="201">
        <f t="shared" si="103"/>
        <v>533.20000000000005</v>
      </c>
      <c r="O84" s="201">
        <f t="shared" si="103"/>
        <v>533.20000000000005</v>
      </c>
      <c r="P84" s="201">
        <f t="shared" si="103"/>
        <v>533.20000000000005</v>
      </c>
      <c r="Q84" s="201">
        <f t="shared" si="103"/>
        <v>533.20000000000005</v>
      </c>
      <c r="R84" s="201">
        <f t="shared" si="103"/>
        <v>533.20000000000005</v>
      </c>
      <c r="S84" s="201">
        <f t="shared" si="103"/>
        <v>533.20000000000005</v>
      </c>
      <c r="T84" s="201">
        <f t="shared" si="103"/>
        <v>533.20000000000005</v>
      </c>
      <c r="U84" s="202">
        <f t="shared" si="103"/>
        <v>10130.799999999999</v>
      </c>
      <c r="V84" s="161"/>
      <c r="W84" s="168"/>
    </row>
    <row r="85" spans="1:66" s="78" customFormat="1" x14ac:dyDescent="0.35">
      <c r="A85" s="190" t="s">
        <v>22</v>
      </c>
      <c r="B85" s="218">
        <f>B81*0.31</f>
        <v>533.20000000000005</v>
      </c>
      <c r="C85" s="201">
        <f t="shared" ref="C85:U85" si="104">C81*0.31</f>
        <v>533.20000000000005</v>
      </c>
      <c r="D85" s="201">
        <f t="shared" si="104"/>
        <v>533.20000000000005</v>
      </c>
      <c r="E85" s="201">
        <f t="shared" si="104"/>
        <v>533.20000000000005</v>
      </c>
      <c r="F85" s="201">
        <f t="shared" si="104"/>
        <v>533.20000000000005</v>
      </c>
      <c r="G85" s="201">
        <f t="shared" si="104"/>
        <v>533.20000000000005</v>
      </c>
      <c r="H85" s="218">
        <f t="shared" si="104"/>
        <v>533.20000000000005</v>
      </c>
      <c r="I85" s="201">
        <f t="shared" si="104"/>
        <v>533.20000000000005</v>
      </c>
      <c r="J85" s="201">
        <f t="shared" si="104"/>
        <v>533.20000000000005</v>
      </c>
      <c r="K85" s="201">
        <f t="shared" si="104"/>
        <v>533.20000000000005</v>
      </c>
      <c r="L85" s="201">
        <f t="shared" si="104"/>
        <v>533.20000000000005</v>
      </c>
      <c r="M85" s="218">
        <f t="shared" si="104"/>
        <v>533.20000000000005</v>
      </c>
      <c r="N85" s="201">
        <f t="shared" si="104"/>
        <v>533.20000000000005</v>
      </c>
      <c r="O85" s="201">
        <f t="shared" si="104"/>
        <v>533.20000000000005</v>
      </c>
      <c r="P85" s="201">
        <f t="shared" si="104"/>
        <v>533.20000000000005</v>
      </c>
      <c r="Q85" s="201">
        <f t="shared" si="104"/>
        <v>533.20000000000005</v>
      </c>
      <c r="R85" s="201">
        <f t="shared" si="104"/>
        <v>533.20000000000005</v>
      </c>
      <c r="S85" s="201">
        <f t="shared" si="104"/>
        <v>533.20000000000005</v>
      </c>
      <c r="T85" s="201">
        <f t="shared" si="104"/>
        <v>533.20000000000005</v>
      </c>
      <c r="U85" s="202">
        <f t="shared" si="104"/>
        <v>10130.799999999999</v>
      </c>
      <c r="V85" s="162"/>
      <c r="W85" s="168"/>
      <c r="X85" s="147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51"/>
      <c r="AK85" s="168"/>
      <c r="AL85" s="168"/>
      <c r="AM85" s="168"/>
      <c r="AN85" s="151"/>
      <c r="AO85" s="168"/>
      <c r="AP85" s="168"/>
      <c r="AQ85" s="168"/>
      <c r="AR85" s="168"/>
      <c r="AS85" s="168"/>
      <c r="AT85" s="168"/>
      <c r="AU85" s="168"/>
      <c r="AV85" s="168"/>
      <c r="AW85" s="168"/>
      <c r="AX85" s="168"/>
      <c r="AY85" s="168"/>
      <c r="AZ85" s="168"/>
      <c r="BA85" s="168"/>
      <c r="BB85" s="168"/>
      <c r="BC85" s="168"/>
      <c r="BD85" s="168"/>
      <c r="BE85" s="168"/>
      <c r="BF85" s="168"/>
      <c r="BG85" s="168"/>
      <c r="BH85" s="168"/>
      <c r="BI85" s="168"/>
      <c r="BJ85" s="168"/>
      <c r="BK85" s="168"/>
      <c r="BL85" s="168"/>
      <c r="BM85" s="168"/>
      <c r="BN85" s="168"/>
    </row>
    <row r="86" spans="1:66" s="77" customFormat="1" ht="15" thickBot="1" x14ac:dyDescent="0.4">
      <c r="A86" s="179"/>
      <c r="B86" s="212"/>
      <c r="C86" s="179"/>
      <c r="D86" s="179"/>
      <c r="E86" s="179"/>
      <c r="F86" s="179"/>
      <c r="G86" s="179"/>
      <c r="H86" s="212"/>
      <c r="I86" s="179"/>
      <c r="J86" s="179"/>
      <c r="K86" s="179"/>
      <c r="L86" s="179"/>
      <c r="M86" s="212"/>
      <c r="N86" s="179"/>
      <c r="O86" s="179"/>
      <c r="P86" s="179"/>
      <c r="Q86" s="179"/>
      <c r="R86" s="179"/>
      <c r="S86" s="179"/>
      <c r="T86" s="179"/>
      <c r="U86" s="179"/>
      <c r="V86" s="163"/>
      <c r="W86" s="168"/>
      <c r="X86" s="147"/>
      <c r="Y86" s="168"/>
      <c r="Z86" s="168"/>
      <c r="AA86" s="168"/>
      <c r="AB86" s="168"/>
      <c r="AC86" s="168"/>
      <c r="AD86" s="168"/>
      <c r="AE86" s="168"/>
      <c r="AF86" s="168"/>
      <c r="AG86" s="168"/>
      <c r="AH86" s="168"/>
      <c r="AI86" s="168"/>
      <c r="AJ86" s="151"/>
      <c r="AK86" s="168"/>
      <c r="AL86" s="168"/>
      <c r="AM86" s="168"/>
      <c r="AN86" s="151"/>
      <c r="AO86" s="168"/>
      <c r="AP86" s="168"/>
      <c r="AQ86" s="168"/>
      <c r="AR86" s="168"/>
      <c r="AS86" s="168"/>
      <c r="AT86" s="168"/>
      <c r="AU86" s="168"/>
      <c r="AV86" s="168"/>
      <c r="AW86" s="168"/>
      <c r="AX86" s="168"/>
      <c r="AY86" s="168"/>
      <c r="AZ86" s="168"/>
      <c r="BA86" s="168"/>
      <c r="BB86" s="168"/>
      <c r="BC86" s="168"/>
      <c r="BD86" s="168"/>
      <c r="BE86" s="168"/>
      <c r="BF86" s="168"/>
      <c r="BG86" s="168"/>
      <c r="BH86" s="168"/>
      <c r="BI86" s="168"/>
      <c r="BJ86" s="168"/>
      <c r="BK86" s="168"/>
      <c r="BL86" s="168"/>
      <c r="BM86" s="168"/>
      <c r="BN86" s="168"/>
    </row>
    <row r="87" spans="1:66" s="77" customFormat="1" x14ac:dyDescent="0.35">
      <c r="A87" s="191" t="s">
        <v>55</v>
      </c>
      <c r="B87" s="213"/>
      <c r="C87" s="192"/>
      <c r="D87" s="192"/>
      <c r="E87" s="192"/>
      <c r="F87" s="192"/>
      <c r="G87" s="192"/>
      <c r="H87" s="213"/>
      <c r="I87" s="192"/>
      <c r="J87" s="192"/>
      <c r="K87" s="192"/>
      <c r="L87" s="192"/>
      <c r="M87" s="213"/>
      <c r="N87" s="192"/>
      <c r="O87" s="192"/>
      <c r="P87" s="192"/>
      <c r="Q87" s="192"/>
      <c r="R87" s="192"/>
      <c r="S87" s="192"/>
      <c r="T87" s="192"/>
      <c r="U87" s="192"/>
      <c r="V87" s="162"/>
      <c r="W87" s="168"/>
      <c r="X87" s="147"/>
      <c r="Y87" s="168"/>
      <c r="Z87" s="168"/>
      <c r="AA87" s="168"/>
      <c r="AB87" s="168"/>
      <c r="AC87" s="168"/>
      <c r="AD87" s="168"/>
      <c r="AE87" s="168"/>
      <c r="AF87" s="168"/>
      <c r="AG87" s="168"/>
      <c r="AH87" s="168"/>
      <c r="AI87" s="168"/>
      <c r="AJ87" s="151"/>
      <c r="AK87" s="168"/>
      <c r="AL87" s="168"/>
      <c r="AM87" s="168"/>
      <c r="AN87" s="151"/>
      <c r="AO87" s="168"/>
      <c r="AP87" s="168"/>
      <c r="AQ87" s="168"/>
      <c r="AR87" s="168"/>
      <c r="AS87" s="168"/>
      <c r="AT87" s="168"/>
      <c r="AU87" s="168"/>
      <c r="AV87" s="168"/>
      <c r="AW87" s="168"/>
      <c r="AX87" s="168"/>
      <c r="AY87" s="168"/>
      <c r="AZ87" s="168"/>
      <c r="BA87" s="168"/>
      <c r="BB87" s="168"/>
      <c r="BC87" s="168"/>
      <c r="BD87" s="168"/>
      <c r="BE87" s="168"/>
      <c r="BF87" s="168"/>
      <c r="BG87" s="168"/>
      <c r="BH87" s="168"/>
      <c r="BI87" s="168"/>
      <c r="BJ87" s="168"/>
      <c r="BK87" s="168"/>
      <c r="BL87" s="168"/>
      <c r="BM87" s="168"/>
      <c r="BN87" s="168"/>
    </row>
    <row r="88" spans="1:66" s="77" customFormat="1" ht="15" thickBot="1" x14ac:dyDescent="0.4">
      <c r="A88" s="193" t="s">
        <v>112</v>
      </c>
      <c r="B88" s="214">
        <f>(30*(B82*$AH$17)+(B83*$AH$18)+(B84*$AH$19)+(B85*$AH$20))+'reference data- 2'!B85</f>
        <v>15791250.01295175</v>
      </c>
      <c r="C88" s="214">
        <f>(30*(C82*$AH$17)+(C83*$AH$18)+(C84*$AH$19)+(C85*$AH$20))+'reference data- 2'!C85</f>
        <v>15791250.01295175</v>
      </c>
      <c r="D88" s="214">
        <f>(30*(D82*$AH$17)+(D83*$AH$18)+(D84*$AH$19)+(D85*$AH$20))+'reference data- 2'!D85</f>
        <v>15791250.01295175</v>
      </c>
      <c r="E88" s="214">
        <f>(30*(E82*$AH$17)+(E83*$AH$18)+(E84*$AH$19)+(E85*$AH$20))+'reference data- 2'!E85</f>
        <v>15791250.01295175</v>
      </c>
      <c r="F88" s="214">
        <f>(30*(F82*$AH$17)+(F83*$AH$18)+(F84*$AH$19)+(F85*$AH$20))+'reference data- 2'!F85</f>
        <v>15791250.01295175</v>
      </c>
      <c r="G88" s="214">
        <f>(30*(G82*$AH$17)+(G83*$AH$18)+(G84*$AH$19)+(G85*$AH$20))+'reference data- 2'!G85</f>
        <v>15791250.01295175</v>
      </c>
      <c r="H88" s="214">
        <f>(30*(H82*$AL$17)+(H83*$AL$18)+(H84*$AL$19)+(H85*$AL$20))+'reference data- 2'!H85</f>
        <v>15430239.846902095</v>
      </c>
      <c r="I88" s="214">
        <f>(30*(I82*$AL$17)+(I83*$AL$18)+(I84*$AL$19)+(I85*$AL$20))+'reference data- 2'!I85</f>
        <v>15430239.846902095</v>
      </c>
      <c r="J88" s="214">
        <f>(30*(J82*$AL$17)+(J83*$AL$18)+(J84*$AL$19)+(J85*$AL$20))+'reference data- 2'!J85</f>
        <v>15430239.846902095</v>
      </c>
      <c r="K88" s="214">
        <f>(30*(K82*$AL$17)+(K83*$AL$18)+(K84*$AL$19)+(K85*$AL$20))+'reference data- 2'!K85</f>
        <v>15430239.846902095</v>
      </c>
      <c r="L88" s="214">
        <f>(30*(L82*$AL$17)+(L83*$AL$18)+(L84*$AL$19)+(L85*$AL$20))+'reference data- 2'!L85</f>
        <v>15430239.846902095</v>
      </c>
      <c r="M88" s="214">
        <f>(30*(M82*$AP$17)+(M83*$AP$18)+(M84*$AP$19)+(M85*$AP$20))+'reference data- 2'!M85</f>
        <v>14281571.136744089</v>
      </c>
      <c r="N88" s="214">
        <f>(30*(N82*$AP$17)+(N83*$AP$18)+(N84*$AP$19)+(N85*$AP$20))+'reference data- 2'!N85</f>
        <v>14281571.136744089</v>
      </c>
      <c r="O88" s="214">
        <f>(30*(O82*$AP$17)+(O83*$AP$18)+(O84*$AP$19)+(O85*$AP$20))+'reference data- 2'!O85</f>
        <v>14281571.136744089</v>
      </c>
      <c r="P88" s="214">
        <f>(30*(P82*$AP$17)+(P83*$AP$18)+(P84*$AP$19)+(P85*$AP$20))+'reference data- 2'!P85</f>
        <v>14281571.136744089</v>
      </c>
      <c r="Q88" s="214">
        <f>(30*(Q82*$AP$17)+(Q83*$AP$18)+(Q84*$AP$19)+(Q85*$AP$20))+'reference data- 2'!Q85</f>
        <v>14281571.136744089</v>
      </c>
      <c r="R88" s="214">
        <f>(30*(R82*$AP$17)+(R83*$AP$18)+(R84*$AP$19)+(R85*$AP$20))+'reference data- 2'!R85</f>
        <v>14281571.136744089</v>
      </c>
      <c r="S88" s="214">
        <f>(30*(S82*$AP$17)+(S83*$AP$18)+(S84*$AP$19)+(S85*$AP$20))+'reference data- 2'!S85</f>
        <v>14281571.136744089</v>
      </c>
      <c r="T88" s="214">
        <f>(30*(T82*$AP$17)+(T83*$AP$18)+(T84*$AP$19)+(T85*$AP$20))+'reference data- 2'!T85</f>
        <v>14281571.136744089</v>
      </c>
      <c r="U88" s="194">
        <f>SUM(B88:T88)</f>
        <v>286151268.40617365</v>
      </c>
      <c r="V88" s="164"/>
      <c r="W88" s="168"/>
      <c r="X88" s="147"/>
      <c r="Y88" s="168"/>
      <c r="Z88" s="168"/>
      <c r="AA88" s="168"/>
      <c r="AB88" s="168"/>
      <c r="AC88" s="168"/>
      <c r="AD88" s="168"/>
      <c r="AE88" s="168"/>
      <c r="AF88" s="168"/>
      <c r="AG88" s="168"/>
      <c r="AH88" s="168"/>
      <c r="AI88" s="168"/>
      <c r="AJ88" s="151"/>
      <c r="AK88" s="168"/>
      <c r="AL88" s="168"/>
      <c r="AM88" s="168"/>
      <c r="AN88" s="151"/>
      <c r="AO88" s="168"/>
      <c r="AP88" s="168"/>
      <c r="AQ88" s="168"/>
      <c r="AR88" s="168"/>
      <c r="AS88" s="168"/>
      <c r="AT88" s="168"/>
      <c r="AU88" s="168"/>
      <c r="AV88" s="168"/>
      <c r="AW88" s="168"/>
      <c r="AX88" s="168"/>
      <c r="AY88" s="168"/>
      <c r="AZ88" s="168"/>
      <c r="BA88" s="168"/>
      <c r="BB88" s="168"/>
      <c r="BC88" s="168"/>
      <c r="BD88" s="168"/>
      <c r="BE88" s="168"/>
      <c r="BF88" s="168"/>
      <c r="BG88" s="168"/>
      <c r="BH88" s="168"/>
      <c r="BI88" s="168"/>
      <c r="BJ88" s="168"/>
      <c r="BK88" s="168"/>
      <c r="BL88" s="168"/>
      <c r="BM88" s="168"/>
      <c r="BN88" s="168"/>
    </row>
    <row r="89" spans="1:66" s="155" customFormat="1" ht="15" thickBot="1" x14ac:dyDescent="0.4">
      <c r="A89" s="193" t="s">
        <v>113</v>
      </c>
      <c r="B89" s="214">
        <f>B88/1000</f>
        <v>15791.25001295175</v>
      </c>
      <c r="C89" s="214">
        <f t="shared" ref="C89" si="105">C88/1000</f>
        <v>15791.25001295175</v>
      </c>
      <c r="D89" s="214">
        <f t="shared" ref="D89" si="106">D88/1000</f>
        <v>15791.25001295175</v>
      </c>
      <c r="E89" s="214">
        <f t="shared" ref="E89" si="107">E88/1000</f>
        <v>15791.25001295175</v>
      </c>
      <c r="F89" s="214">
        <f t="shared" ref="F89" si="108">F88/1000</f>
        <v>15791.25001295175</v>
      </c>
      <c r="G89" s="214">
        <f t="shared" ref="G89" si="109">G88/1000</f>
        <v>15791.25001295175</v>
      </c>
      <c r="H89" s="214">
        <f t="shared" ref="H89" si="110">H88/1000</f>
        <v>15430.239846902095</v>
      </c>
      <c r="I89" s="214">
        <f t="shared" ref="I89" si="111">I88/1000</f>
        <v>15430.239846902095</v>
      </c>
      <c r="J89" s="214">
        <f t="shared" ref="J89" si="112">J88/1000</f>
        <v>15430.239846902095</v>
      </c>
      <c r="K89" s="214">
        <f t="shared" ref="K89" si="113">K88/1000</f>
        <v>15430.239846902095</v>
      </c>
      <c r="L89" s="214">
        <f t="shared" ref="L89" si="114">L88/1000</f>
        <v>15430.239846902095</v>
      </c>
      <c r="M89" s="214">
        <f t="shared" ref="M89" si="115">M88/1000</f>
        <v>14281.571136744089</v>
      </c>
      <c r="N89" s="214">
        <f t="shared" ref="N89" si="116">N88/1000</f>
        <v>14281.571136744089</v>
      </c>
      <c r="O89" s="214">
        <f t="shared" ref="O89" si="117">O88/1000</f>
        <v>14281.571136744089</v>
      </c>
      <c r="P89" s="214">
        <f t="shared" ref="P89" si="118">P88/1000</f>
        <v>14281.571136744089</v>
      </c>
      <c r="Q89" s="214">
        <f t="shared" ref="Q89" si="119">Q88/1000</f>
        <v>14281.571136744089</v>
      </c>
      <c r="R89" s="214">
        <f t="shared" ref="R89" si="120">R88/1000</f>
        <v>14281.571136744089</v>
      </c>
      <c r="S89" s="214">
        <f t="shared" ref="S89" si="121">S88/1000</f>
        <v>14281.571136744089</v>
      </c>
      <c r="T89" s="214">
        <f t="shared" ref="T89" si="122">T88/1000</f>
        <v>14281.571136744089</v>
      </c>
      <c r="U89" s="214">
        <f t="shared" ref="U89" si="123">U88/1000</f>
        <v>286151.26840617362</v>
      </c>
      <c r="V89" s="164"/>
      <c r="W89" s="168"/>
      <c r="X89" s="147"/>
      <c r="Y89" s="168"/>
      <c r="Z89" s="168"/>
      <c r="AA89" s="168"/>
      <c r="AB89" s="168"/>
      <c r="AC89" s="168"/>
      <c r="AD89" s="168"/>
      <c r="AE89" s="168"/>
      <c r="AF89" s="168"/>
      <c r="AG89" s="168"/>
      <c r="AH89" s="168"/>
      <c r="AI89" s="168"/>
      <c r="AJ89" s="151"/>
      <c r="AK89" s="168"/>
      <c r="AL89" s="168"/>
      <c r="AM89" s="168"/>
      <c r="AN89" s="151"/>
      <c r="AO89" s="168"/>
      <c r="AP89" s="168"/>
      <c r="AQ89" s="168"/>
      <c r="AR89" s="168"/>
      <c r="AS89" s="168"/>
      <c r="AT89" s="168"/>
      <c r="AU89" s="168"/>
      <c r="AV89" s="168"/>
      <c r="AW89" s="168"/>
      <c r="AX89" s="168"/>
      <c r="AY89" s="168"/>
      <c r="AZ89" s="168"/>
      <c r="BA89" s="168"/>
      <c r="BB89" s="168"/>
      <c r="BC89" s="168"/>
      <c r="BD89" s="168"/>
      <c r="BE89" s="168"/>
      <c r="BF89" s="168"/>
      <c r="BG89" s="168"/>
      <c r="BH89" s="168"/>
      <c r="BI89" s="168"/>
      <c r="BJ89" s="168"/>
      <c r="BK89" s="168"/>
      <c r="BL89" s="168"/>
      <c r="BM89" s="168"/>
      <c r="BN89" s="168"/>
    </row>
    <row r="90" spans="1:66" s="79" customFormat="1" ht="15" thickBot="1" x14ac:dyDescent="0.4">
      <c r="A90" s="193" t="s">
        <v>64</v>
      </c>
      <c r="B90" s="215">
        <f>B89*144</f>
        <v>2273940.0018650522</v>
      </c>
      <c r="C90" s="215">
        <f t="shared" ref="C90:U90" si="124">C89*144</f>
        <v>2273940.0018650522</v>
      </c>
      <c r="D90" s="215">
        <f t="shared" si="124"/>
        <v>2273940.0018650522</v>
      </c>
      <c r="E90" s="215">
        <f t="shared" si="124"/>
        <v>2273940.0018650522</v>
      </c>
      <c r="F90" s="215">
        <f t="shared" si="124"/>
        <v>2273940.0018650522</v>
      </c>
      <c r="G90" s="215">
        <f t="shared" si="124"/>
        <v>2273940.0018650522</v>
      </c>
      <c r="H90" s="215">
        <f t="shared" si="124"/>
        <v>2221954.5379539016</v>
      </c>
      <c r="I90" s="215">
        <f t="shared" si="124"/>
        <v>2221954.5379539016</v>
      </c>
      <c r="J90" s="215">
        <f t="shared" si="124"/>
        <v>2221954.5379539016</v>
      </c>
      <c r="K90" s="215">
        <f t="shared" si="124"/>
        <v>2221954.5379539016</v>
      </c>
      <c r="L90" s="215">
        <f t="shared" si="124"/>
        <v>2221954.5379539016</v>
      </c>
      <c r="M90" s="215">
        <f t="shared" si="124"/>
        <v>2056546.2436911487</v>
      </c>
      <c r="N90" s="215">
        <f t="shared" si="124"/>
        <v>2056546.2436911487</v>
      </c>
      <c r="O90" s="215">
        <f t="shared" si="124"/>
        <v>2056546.2436911487</v>
      </c>
      <c r="P90" s="215">
        <f t="shared" si="124"/>
        <v>2056546.2436911487</v>
      </c>
      <c r="Q90" s="215">
        <f t="shared" si="124"/>
        <v>2056546.2436911487</v>
      </c>
      <c r="R90" s="215">
        <f t="shared" si="124"/>
        <v>2056546.2436911487</v>
      </c>
      <c r="S90" s="215">
        <f t="shared" si="124"/>
        <v>2056546.2436911487</v>
      </c>
      <c r="T90" s="215">
        <f t="shared" si="124"/>
        <v>2056546.2436911487</v>
      </c>
      <c r="U90" s="215">
        <f t="shared" si="124"/>
        <v>41205782.650489002</v>
      </c>
      <c r="V90" s="159"/>
      <c r="W90" s="168"/>
      <c r="X90" s="147"/>
      <c r="Y90" s="168"/>
      <c r="Z90" s="168"/>
      <c r="AA90" s="168"/>
      <c r="AB90" s="168"/>
      <c r="AC90" s="168"/>
      <c r="AD90" s="168"/>
      <c r="AE90" s="168"/>
      <c r="AF90" s="168"/>
      <c r="AG90" s="168"/>
      <c r="AH90" s="168"/>
      <c r="AI90" s="168"/>
      <c r="AJ90" s="151"/>
      <c r="AK90" s="168"/>
      <c r="AL90" s="168"/>
      <c r="AM90" s="168"/>
      <c r="AN90" s="151"/>
      <c r="AO90" s="168"/>
      <c r="AP90" s="168"/>
      <c r="AQ90" s="168"/>
      <c r="AR90" s="168"/>
      <c r="AS90" s="168"/>
      <c r="AT90" s="168"/>
      <c r="AU90" s="168"/>
      <c r="AV90" s="168"/>
      <c r="AW90" s="168"/>
      <c r="AX90" s="168"/>
      <c r="AY90" s="168"/>
      <c r="AZ90" s="168"/>
      <c r="BA90" s="168"/>
      <c r="BB90" s="168"/>
      <c r="BC90" s="168"/>
      <c r="BD90" s="168"/>
      <c r="BE90" s="168"/>
      <c r="BF90" s="168"/>
      <c r="BG90" s="168"/>
      <c r="BH90" s="168"/>
      <c r="BI90" s="168"/>
      <c r="BJ90" s="168"/>
      <c r="BK90" s="168"/>
      <c r="BL90" s="168"/>
      <c r="BM90" s="168"/>
      <c r="BN90" s="168"/>
    </row>
    <row r="91" spans="1:66" x14ac:dyDescent="0.35">
      <c r="A91" s="193"/>
      <c r="B91" s="213"/>
      <c r="C91" s="196"/>
      <c r="D91" s="194"/>
      <c r="E91" s="194"/>
      <c r="F91" s="194"/>
      <c r="G91" s="194"/>
      <c r="H91" s="214"/>
      <c r="I91" s="194"/>
      <c r="J91" s="194"/>
      <c r="K91" s="194"/>
      <c r="L91" s="194"/>
      <c r="M91" s="214"/>
      <c r="N91" s="194"/>
      <c r="O91" s="194"/>
      <c r="P91" s="194"/>
      <c r="Q91" s="194"/>
      <c r="R91" s="194"/>
      <c r="S91" s="194"/>
      <c r="T91" s="194"/>
      <c r="U91" s="194"/>
      <c r="V91" s="159"/>
      <c r="W91" s="168"/>
    </row>
    <row r="92" spans="1:66" ht="15" thickBot="1" x14ac:dyDescent="0.4">
      <c r="A92" s="197"/>
      <c r="B92" s="216"/>
      <c r="C92" s="198"/>
      <c r="D92" s="198"/>
      <c r="E92" s="198"/>
      <c r="F92" s="198"/>
      <c r="G92" s="198"/>
      <c r="H92" s="216"/>
      <c r="I92" s="198"/>
      <c r="J92" s="198"/>
      <c r="K92" s="198"/>
      <c r="L92" s="198"/>
      <c r="M92" s="216"/>
      <c r="N92" s="198"/>
      <c r="O92" s="198"/>
      <c r="P92" s="198"/>
      <c r="Q92" s="198"/>
      <c r="R92" s="198"/>
      <c r="S92" s="198"/>
      <c r="T92" s="198"/>
      <c r="U92" s="198"/>
      <c r="V92" s="159"/>
      <c r="W92" s="168"/>
    </row>
    <row r="93" spans="1:66" x14ac:dyDescent="0.35">
      <c r="A93" s="179"/>
      <c r="B93" s="212"/>
      <c r="C93" s="179"/>
      <c r="D93" s="179"/>
      <c r="E93" s="179"/>
      <c r="F93" s="179"/>
      <c r="G93" s="179"/>
      <c r="H93" s="212"/>
      <c r="I93" s="179"/>
      <c r="J93" s="179"/>
      <c r="K93" s="179"/>
      <c r="L93" s="179"/>
      <c r="M93" s="212"/>
      <c r="N93" s="179"/>
      <c r="O93" s="179"/>
      <c r="P93" s="179"/>
      <c r="Q93" s="179"/>
      <c r="R93" s="179"/>
      <c r="S93" s="179"/>
      <c r="T93" s="179"/>
      <c r="U93" s="179"/>
      <c r="V93" s="160"/>
      <c r="W93" s="168"/>
    </row>
    <row r="94" spans="1:66" x14ac:dyDescent="0.35">
      <c r="A94" s="179"/>
      <c r="B94" s="212"/>
      <c r="C94" s="179"/>
      <c r="D94" s="179"/>
      <c r="E94" s="179"/>
      <c r="F94" s="179"/>
      <c r="G94" s="179"/>
      <c r="H94" s="212"/>
      <c r="I94" s="179"/>
      <c r="J94" s="179"/>
      <c r="K94" s="179"/>
      <c r="L94" s="179"/>
      <c r="M94" s="212"/>
      <c r="N94" s="179"/>
      <c r="O94" s="179"/>
      <c r="P94" s="179"/>
      <c r="Q94" s="179"/>
      <c r="R94" s="179"/>
      <c r="S94" s="179"/>
      <c r="T94" s="179"/>
      <c r="U94" s="179"/>
      <c r="V94" s="159"/>
      <c r="W94" s="168"/>
    </row>
    <row r="95" spans="1:66" x14ac:dyDescent="0.35">
      <c r="A95" s="180" t="s">
        <v>0</v>
      </c>
      <c r="B95" s="209" t="s">
        <v>1</v>
      </c>
      <c r="C95" s="181" t="s">
        <v>2</v>
      </c>
      <c r="D95" s="182" t="s">
        <v>3</v>
      </c>
      <c r="E95" s="182" t="s">
        <v>4</v>
      </c>
      <c r="F95" s="182" t="s">
        <v>5</v>
      </c>
      <c r="G95" s="182" t="s">
        <v>6</v>
      </c>
      <c r="H95" s="209" t="s">
        <v>7</v>
      </c>
      <c r="I95" s="182" t="s">
        <v>8</v>
      </c>
      <c r="J95" s="182" t="s">
        <v>9</v>
      </c>
      <c r="K95" s="182" t="s">
        <v>10</v>
      </c>
      <c r="L95" s="182" t="s">
        <v>11</v>
      </c>
      <c r="M95" s="209" t="s">
        <v>12</v>
      </c>
      <c r="N95" s="182" t="s">
        <v>13</v>
      </c>
      <c r="O95" s="182" t="s">
        <v>14</v>
      </c>
      <c r="P95" s="182" t="s">
        <v>15</v>
      </c>
      <c r="Q95" s="182" t="s">
        <v>16</v>
      </c>
      <c r="R95" s="183" t="s">
        <v>17</v>
      </c>
      <c r="S95" s="184" t="s">
        <v>23</v>
      </c>
      <c r="T95" s="184" t="s">
        <v>24</v>
      </c>
      <c r="U95" s="185" t="s">
        <v>18</v>
      </c>
      <c r="V95" s="159"/>
      <c r="W95" s="168"/>
    </row>
    <row r="96" spans="1:66" x14ac:dyDescent="0.35">
      <c r="A96" s="154" t="s">
        <v>32</v>
      </c>
      <c r="B96" s="217">
        <v>764</v>
      </c>
      <c r="C96" s="199">
        <v>764</v>
      </c>
      <c r="D96" s="199">
        <v>764</v>
      </c>
      <c r="E96" s="199">
        <v>764</v>
      </c>
      <c r="F96" s="199">
        <v>764</v>
      </c>
      <c r="G96" s="199">
        <v>764</v>
      </c>
      <c r="H96" s="217">
        <v>764</v>
      </c>
      <c r="I96" s="199">
        <v>764</v>
      </c>
      <c r="J96" s="199">
        <v>764</v>
      </c>
      <c r="K96" s="199">
        <v>764</v>
      </c>
      <c r="L96" s="199">
        <v>764</v>
      </c>
      <c r="M96" s="217">
        <v>764</v>
      </c>
      <c r="N96" s="199">
        <v>764</v>
      </c>
      <c r="O96" s="199">
        <v>764</v>
      </c>
      <c r="P96" s="199">
        <v>764</v>
      </c>
      <c r="Q96" s="199">
        <v>764</v>
      </c>
      <c r="R96" s="199">
        <v>764</v>
      </c>
      <c r="S96" s="199">
        <v>764</v>
      </c>
      <c r="T96" s="199">
        <v>764</v>
      </c>
      <c r="U96" s="200">
        <v>14520</v>
      </c>
      <c r="V96" s="159"/>
      <c r="W96" s="168"/>
    </row>
    <row r="97" spans="1:66" x14ac:dyDescent="0.35">
      <c r="A97" s="187" t="s">
        <v>20</v>
      </c>
      <c r="B97" s="218">
        <f>B96*0.24</f>
        <v>183.35999999999999</v>
      </c>
      <c r="C97" s="201">
        <f t="shared" ref="C97:U97" si="125">C96*0.24</f>
        <v>183.35999999999999</v>
      </c>
      <c r="D97" s="201">
        <f t="shared" si="125"/>
        <v>183.35999999999999</v>
      </c>
      <c r="E97" s="201">
        <f t="shared" si="125"/>
        <v>183.35999999999999</v>
      </c>
      <c r="F97" s="201">
        <f t="shared" si="125"/>
        <v>183.35999999999999</v>
      </c>
      <c r="G97" s="201">
        <f t="shared" si="125"/>
        <v>183.35999999999999</v>
      </c>
      <c r="H97" s="218">
        <f t="shared" si="125"/>
        <v>183.35999999999999</v>
      </c>
      <c r="I97" s="201">
        <f t="shared" si="125"/>
        <v>183.35999999999999</v>
      </c>
      <c r="J97" s="201">
        <f t="shared" si="125"/>
        <v>183.35999999999999</v>
      </c>
      <c r="K97" s="201">
        <f t="shared" si="125"/>
        <v>183.35999999999999</v>
      </c>
      <c r="L97" s="201">
        <f t="shared" si="125"/>
        <v>183.35999999999999</v>
      </c>
      <c r="M97" s="218">
        <f t="shared" si="125"/>
        <v>183.35999999999999</v>
      </c>
      <c r="N97" s="201">
        <f t="shared" si="125"/>
        <v>183.35999999999999</v>
      </c>
      <c r="O97" s="201">
        <f t="shared" si="125"/>
        <v>183.35999999999999</v>
      </c>
      <c r="P97" s="201">
        <f t="shared" si="125"/>
        <v>183.35999999999999</v>
      </c>
      <c r="Q97" s="201">
        <f t="shared" si="125"/>
        <v>183.35999999999999</v>
      </c>
      <c r="R97" s="201">
        <f t="shared" si="125"/>
        <v>183.35999999999999</v>
      </c>
      <c r="S97" s="201">
        <f t="shared" si="125"/>
        <v>183.35999999999999</v>
      </c>
      <c r="T97" s="201">
        <f t="shared" si="125"/>
        <v>183.35999999999999</v>
      </c>
      <c r="U97" s="202">
        <f t="shared" si="125"/>
        <v>3484.7999999999997</v>
      </c>
      <c r="V97" s="167"/>
      <c r="W97" s="168"/>
    </row>
    <row r="98" spans="1:66" s="80" customFormat="1" ht="15" thickBot="1" x14ac:dyDescent="0.4">
      <c r="A98" s="187" t="s">
        <v>21</v>
      </c>
      <c r="B98" s="218">
        <f>B96*0.37</f>
        <v>282.68</v>
      </c>
      <c r="C98" s="201">
        <f t="shared" ref="C98:U98" si="126">C96*0.37</f>
        <v>282.68</v>
      </c>
      <c r="D98" s="201">
        <f t="shared" si="126"/>
        <v>282.68</v>
      </c>
      <c r="E98" s="201">
        <f t="shared" si="126"/>
        <v>282.68</v>
      </c>
      <c r="F98" s="201">
        <f t="shared" si="126"/>
        <v>282.68</v>
      </c>
      <c r="G98" s="201">
        <f t="shared" si="126"/>
        <v>282.68</v>
      </c>
      <c r="H98" s="218">
        <f t="shared" si="126"/>
        <v>282.68</v>
      </c>
      <c r="I98" s="201">
        <f t="shared" si="126"/>
        <v>282.68</v>
      </c>
      <c r="J98" s="201">
        <f t="shared" si="126"/>
        <v>282.68</v>
      </c>
      <c r="K98" s="201">
        <f t="shared" si="126"/>
        <v>282.68</v>
      </c>
      <c r="L98" s="201">
        <f t="shared" si="126"/>
        <v>282.68</v>
      </c>
      <c r="M98" s="218">
        <f t="shared" si="126"/>
        <v>282.68</v>
      </c>
      <c r="N98" s="201">
        <f t="shared" si="126"/>
        <v>282.68</v>
      </c>
      <c r="O98" s="201">
        <f t="shared" si="126"/>
        <v>282.68</v>
      </c>
      <c r="P98" s="201">
        <f t="shared" si="126"/>
        <v>282.68</v>
      </c>
      <c r="Q98" s="201">
        <f t="shared" si="126"/>
        <v>282.68</v>
      </c>
      <c r="R98" s="201">
        <f t="shared" si="126"/>
        <v>282.68</v>
      </c>
      <c r="S98" s="201">
        <f t="shared" si="126"/>
        <v>282.68</v>
      </c>
      <c r="T98" s="201">
        <f t="shared" si="126"/>
        <v>282.68</v>
      </c>
      <c r="U98" s="202">
        <f t="shared" si="126"/>
        <v>5372.4</v>
      </c>
      <c r="V98" s="159"/>
      <c r="W98" s="168"/>
      <c r="X98" s="147"/>
      <c r="Y98" s="168"/>
      <c r="Z98" s="168"/>
      <c r="AA98" s="168"/>
      <c r="AB98" s="168"/>
      <c r="AC98" s="168"/>
      <c r="AD98" s="168"/>
      <c r="AE98" s="168"/>
      <c r="AF98" s="168"/>
      <c r="AG98" s="168"/>
      <c r="AH98" s="168"/>
      <c r="AI98" s="168"/>
      <c r="AJ98" s="151"/>
      <c r="AK98" s="168"/>
      <c r="AL98" s="168"/>
      <c r="AM98" s="168"/>
      <c r="AN98" s="151"/>
      <c r="AO98" s="168"/>
      <c r="AP98" s="168"/>
      <c r="AQ98" s="168"/>
      <c r="AR98" s="168"/>
      <c r="AS98" s="168"/>
      <c r="AT98" s="168"/>
      <c r="AU98" s="168"/>
      <c r="AV98" s="168"/>
      <c r="AW98" s="168"/>
      <c r="AX98" s="168"/>
      <c r="AY98" s="168"/>
      <c r="AZ98" s="168"/>
      <c r="BA98" s="168"/>
      <c r="BB98" s="168"/>
      <c r="BC98" s="168"/>
      <c r="BD98" s="168"/>
      <c r="BE98" s="168"/>
      <c r="BF98" s="168"/>
      <c r="BG98" s="168"/>
      <c r="BH98" s="168"/>
      <c r="BI98" s="168"/>
      <c r="BJ98" s="168"/>
      <c r="BK98" s="168"/>
      <c r="BL98" s="168"/>
      <c r="BM98" s="168"/>
      <c r="BN98" s="168"/>
    </row>
    <row r="99" spans="1:66" ht="15" thickBot="1" x14ac:dyDescent="0.4">
      <c r="A99" s="187" t="s">
        <v>26</v>
      </c>
      <c r="B99" s="218">
        <f>B96*0.23</f>
        <v>175.72</v>
      </c>
      <c r="C99" s="201">
        <f t="shared" ref="C99:U99" si="127">C96*0.23</f>
        <v>175.72</v>
      </c>
      <c r="D99" s="201">
        <f t="shared" si="127"/>
        <v>175.72</v>
      </c>
      <c r="E99" s="201">
        <f t="shared" si="127"/>
        <v>175.72</v>
      </c>
      <c r="F99" s="201">
        <f t="shared" si="127"/>
        <v>175.72</v>
      </c>
      <c r="G99" s="201">
        <f t="shared" si="127"/>
        <v>175.72</v>
      </c>
      <c r="H99" s="218">
        <f t="shared" si="127"/>
        <v>175.72</v>
      </c>
      <c r="I99" s="201">
        <f t="shared" si="127"/>
        <v>175.72</v>
      </c>
      <c r="J99" s="201">
        <f t="shared" si="127"/>
        <v>175.72</v>
      </c>
      <c r="K99" s="201">
        <f t="shared" si="127"/>
        <v>175.72</v>
      </c>
      <c r="L99" s="201">
        <f t="shared" si="127"/>
        <v>175.72</v>
      </c>
      <c r="M99" s="218">
        <f t="shared" si="127"/>
        <v>175.72</v>
      </c>
      <c r="N99" s="201">
        <f t="shared" si="127"/>
        <v>175.72</v>
      </c>
      <c r="O99" s="201">
        <f t="shared" si="127"/>
        <v>175.72</v>
      </c>
      <c r="P99" s="201">
        <f t="shared" si="127"/>
        <v>175.72</v>
      </c>
      <c r="Q99" s="201">
        <f t="shared" si="127"/>
        <v>175.72</v>
      </c>
      <c r="R99" s="201">
        <f t="shared" si="127"/>
        <v>175.72</v>
      </c>
      <c r="S99" s="201">
        <f t="shared" si="127"/>
        <v>175.72</v>
      </c>
      <c r="T99" s="201">
        <f t="shared" si="127"/>
        <v>175.72</v>
      </c>
      <c r="U99" s="202">
        <f t="shared" si="127"/>
        <v>3339.6000000000004</v>
      </c>
      <c r="V99" s="161"/>
      <c r="W99" s="168"/>
    </row>
    <row r="100" spans="1:66" s="78" customFormat="1" x14ac:dyDescent="0.35">
      <c r="A100" s="190" t="s">
        <v>22</v>
      </c>
      <c r="B100" s="218">
        <f>B96*0.16</f>
        <v>122.24000000000001</v>
      </c>
      <c r="C100" s="201">
        <f t="shared" ref="C100:U100" si="128">C96*0.16</f>
        <v>122.24000000000001</v>
      </c>
      <c r="D100" s="201">
        <f t="shared" si="128"/>
        <v>122.24000000000001</v>
      </c>
      <c r="E100" s="201">
        <f t="shared" si="128"/>
        <v>122.24000000000001</v>
      </c>
      <c r="F100" s="201">
        <f t="shared" si="128"/>
        <v>122.24000000000001</v>
      </c>
      <c r="G100" s="201">
        <f t="shared" si="128"/>
        <v>122.24000000000001</v>
      </c>
      <c r="H100" s="218">
        <f t="shared" si="128"/>
        <v>122.24000000000001</v>
      </c>
      <c r="I100" s="201">
        <f t="shared" si="128"/>
        <v>122.24000000000001</v>
      </c>
      <c r="J100" s="201">
        <f t="shared" si="128"/>
        <v>122.24000000000001</v>
      </c>
      <c r="K100" s="201">
        <f t="shared" si="128"/>
        <v>122.24000000000001</v>
      </c>
      <c r="L100" s="201">
        <f t="shared" si="128"/>
        <v>122.24000000000001</v>
      </c>
      <c r="M100" s="218">
        <f t="shared" si="128"/>
        <v>122.24000000000001</v>
      </c>
      <c r="N100" s="201">
        <f t="shared" si="128"/>
        <v>122.24000000000001</v>
      </c>
      <c r="O100" s="201">
        <f t="shared" si="128"/>
        <v>122.24000000000001</v>
      </c>
      <c r="P100" s="201">
        <f t="shared" si="128"/>
        <v>122.24000000000001</v>
      </c>
      <c r="Q100" s="201">
        <f t="shared" si="128"/>
        <v>122.24000000000001</v>
      </c>
      <c r="R100" s="201">
        <f t="shared" si="128"/>
        <v>122.24000000000001</v>
      </c>
      <c r="S100" s="201">
        <f t="shared" si="128"/>
        <v>122.24000000000001</v>
      </c>
      <c r="T100" s="201">
        <f t="shared" si="128"/>
        <v>122.24000000000001</v>
      </c>
      <c r="U100" s="202">
        <f t="shared" si="128"/>
        <v>2323.2000000000003</v>
      </c>
      <c r="V100" s="162"/>
      <c r="W100" s="168"/>
      <c r="X100" s="147"/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51"/>
      <c r="AK100" s="168"/>
      <c r="AL100" s="168"/>
      <c r="AM100" s="168"/>
      <c r="AN100" s="151"/>
      <c r="AO100" s="168"/>
      <c r="AP100" s="168"/>
      <c r="AQ100" s="168"/>
      <c r="AR100" s="168"/>
      <c r="AS100" s="168"/>
      <c r="AT100" s="168"/>
      <c r="AU100" s="168"/>
      <c r="AV100" s="168"/>
      <c r="AW100" s="168"/>
      <c r="AX100" s="168"/>
      <c r="AY100" s="168"/>
      <c r="AZ100" s="168"/>
      <c r="BA100" s="168"/>
      <c r="BB100" s="168"/>
      <c r="BC100" s="168"/>
      <c r="BD100" s="168"/>
      <c r="BE100" s="168"/>
      <c r="BF100" s="168"/>
      <c r="BG100" s="168"/>
      <c r="BH100" s="168"/>
      <c r="BI100" s="168"/>
      <c r="BJ100" s="168"/>
      <c r="BK100" s="168"/>
      <c r="BL100" s="168"/>
      <c r="BM100" s="168"/>
      <c r="BN100" s="168"/>
    </row>
    <row r="101" spans="1:66" s="77" customFormat="1" ht="15" thickBot="1" x14ac:dyDescent="0.4">
      <c r="A101" s="179"/>
      <c r="B101" s="212"/>
      <c r="C101" s="179"/>
      <c r="D101" s="179"/>
      <c r="E101" s="179"/>
      <c r="F101" s="179"/>
      <c r="G101" s="179"/>
      <c r="H101" s="212"/>
      <c r="I101" s="179"/>
      <c r="J101" s="179"/>
      <c r="K101" s="179"/>
      <c r="L101" s="179"/>
      <c r="M101" s="212"/>
      <c r="N101" s="179"/>
      <c r="O101" s="179"/>
      <c r="P101" s="179"/>
      <c r="Q101" s="179"/>
      <c r="R101" s="179"/>
      <c r="S101" s="179"/>
      <c r="T101" s="179"/>
      <c r="U101" s="179"/>
      <c r="V101" s="163"/>
      <c r="W101" s="168"/>
      <c r="X101" s="147"/>
      <c r="Y101" s="168"/>
      <c r="Z101" s="168"/>
      <c r="AA101" s="168"/>
      <c r="AB101" s="168"/>
      <c r="AC101" s="168"/>
      <c r="AD101" s="168"/>
      <c r="AE101" s="168"/>
      <c r="AF101" s="168"/>
      <c r="AG101" s="168"/>
      <c r="AH101" s="168"/>
      <c r="AI101" s="168"/>
      <c r="AJ101" s="151"/>
      <c r="AK101" s="168"/>
      <c r="AL101" s="168"/>
      <c r="AM101" s="168"/>
      <c r="AN101" s="151"/>
      <c r="AO101" s="168"/>
      <c r="AP101" s="168"/>
      <c r="AQ101" s="168"/>
      <c r="AR101" s="168"/>
      <c r="AS101" s="168"/>
      <c r="AT101" s="168"/>
      <c r="AU101" s="168"/>
      <c r="AV101" s="168"/>
      <c r="AW101" s="168"/>
      <c r="AX101" s="168"/>
      <c r="AY101" s="168"/>
      <c r="AZ101" s="168"/>
      <c r="BA101" s="168"/>
      <c r="BB101" s="168"/>
      <c r="BC101" s="168"/>
      <c r="BD101" s="168"/>
      <c r="BE101" s="168"/>
      <c r="BF101" s="168"/>
      <c r="BG101" s="168"/>
      <c r="BH101" s="168"/>
      <c r="BI101" s="168"/>
      <c r="BJ101" s="168"/>
      <c r="BK101" s="168"/>
      <c r="BL101" s="168"/>
      <c r="BM101" s="168"/>
      <c r="BN101" s="168"/>
    </row>
    <row r="102" spans="1:66" s="77" customFormat="1" x14ac:dyDescent="0.35">
      <c r="A102" s="191" t="s">
        <v>55</v>
      </c>
      <c r="B102" s="213"/>
      <c r="C102" s="192"/>
      <c r="D102" s="192"/>
      <c r="E102" s="192"/>
      <c r="F102" s="192"/>
      <c r="G102" s="192"/>
      <c r="H102" s="213"/>
      <c r="I102" s="192"/>
      <c r="J102" s="192"/>
      <c r="K102" s="192"/>
      <c r="L102" s="192"/>
      <c r="M102" s="213"/>
      <c r="N102" s="192"/>
      <c r="O102" s="192"/>
      <c r="P102" s="192"/>
      <c r="Q102" s="192"/>
      <c r="R102" s="192"/>
      <c r="S102" s="192"/>
      <c r="T102" s="192"/>
      <c r="U102" s="192"/>
      <c r="V102" s="162"/>
      <c r="W102" s="168"/>
      <c r="X102" s="147"/>
      <c r="Y102" s="168"/>
      <c r="Z102" s="168"/>
      <c r="AA102" s="168"/>
      <c r="AB102" s="168"/>
      <c r="AC102" s="168"/>
      <c r="AD102" s="168"/>
      <c r="AE102" s="168"/>
      <c r="AF102" s="168"/>
      <c r="AG102" s="168"/>
      <c r="AH102" s="168"/>
      <c r="AI102" s="168"/>
      <c r="AJ102" s="151"/>
      <c r="AK102" s="168"/>
      <c r="AL102" s="168"/>
      <c r="AM102" s="168"/>
      <c r="AN102" s="151"/>
      <c r="AO102" s="168"/>
      <c r="AP102" s="168"/>
      <c r="AQ102" s="168"/>
      <c r="AR102" s="168"/>
      <c r="AS102" s="168"/>
      <c r="AT102" s="168"/>
      <c r="AU102" s="168"/>
      <c r="AV102" s="168"/>
      <c r="AW102" s="168"/>
      <c r="AX102" s="168"/>
      <c r="AY102" s="168"/>
      <c r="AZ102" s="168"/>
      <c r="BA102" s="168"/>
      <c r="BB102" s="168"/>
      <c r="BC102" s="168"/>
      <c r="BD102" s="168"/>
      <c r="BE102" s="168"/>
      <c r="BF102" s="168"/>
      <c r="BG102" s="168"/>
      <c r="BH102" s="168"/>
      <c r="BI102" s="168"/>
      <c r="BJ102" s="168"/>
      <c r="BK102" s="168"/>
      <c r="BL102" s="168"/>
      <c r="BM102" s="168"/>
      <c r="BN102" s="168"/>
    </row>
    <row r="103" spans="1:66" s="77" customFormat="1" ht="15" thickBot="1" x14ac:dyDescent="0.4">
      <c r="A103" s="193" t="s">
        <v>112</v>
      </c>
      <c r="B103" s="214">
        <f>(30*(B97*$AH$17)+(B98*$AH$18)+(B99*$AH$19)+(B100*$AH$20))+'reference data- 2'!B100</f>
        <v>6488709.305459925</v>
      </c>
      <c r="C103" s="214">
        <f>(30*(C97*$AH$17)+(C98*$AH$18)+(C99*$AH$19)+(C100*$AH$20))+'reference data- 2'!C100</f>
        <v>6488709.305459925</v>
      </c>
      <c r="D103" s="214">
        <f>(30*(D97*$AH$17)+(D98*$AH$18)+(D99*$AH$19)+(D100*$AH$20))+'reference data- 2'!D100</f>
        <v>6488709.305459925</v>
      </c>
      <c r="E103" s="214">
        <f>(30*(E97*$AH$17)+(E98*$AH$18)+(E99*$AH$19)+(E100*$AH$20))+'reference data- 2'!E100</f>
        <v>6488709.305459925</v>
      </c>
      <c r="F103" s="214">
        <f>(30*(F97*$AH$17)+(F98*$AH$18)+(F99*$AH$19)+(F100*$AH$20))+'reference data- 2'!F100</f>
        <v>6488709.305459925</v>
      </c>
      <c r="G103" s="214">
        <f>(30*(G97*$AH$17)+(G98*$AH$18)+(G99*$AH$19)+(G100*$AH$20))+'reference data- 2'!G100</f>
        <v>6488709.305459925</v>
      </c>
      <c r="H103" s="214">
        <f>(30*(H97*$AL$17)+(H98*$AL$18)+(H99*$AL$19)+(H100*$AL$20))+'reference data- 2'!H100</f>
        <v>6207455.7946124561</v>
      </c>
      <c r="I103" s="214">
        <f>(30*(I97*$AL$17)+(I98*$AL$18)+(I99*$AL$19)+(I100*$AL$20))+'reference data- 2'!I100</f>
        <v>6207455.7946124561</v>
      </c>
      <c r="J103" s="214">
        <f>(30*(J97*$AL$17)+(J98*$AL$18)+(J99*$AL$19)+(J100*$AL$20))+'reference data- 2'!J100</f>
        <v>6207455.7946124561</v>
      </c>
      <c r="K103" s="214">
        <f>(30*(K97*$AL$17)+(K98*$AL$18)+(K99*$AL$19)+(K100*$AL$20))+'reference data- 2'!K100</f>
        <v>6207455.7946124561</v>
      </c>
      <c r="L103" s="214">
        <f>(30*(L97*$AL$17)+(L98*$AL$18)+(L99*$AL$19)+(L100*$AL$20))+'reference data- 2'!L100</f>
        <v>6207455.7946124561</v>
      </c>
      <c r="M103" s="214">
        <f>(30*(M97*$AP$17)+(M98*$AP$18)+(M99*$AP$19)+(M100*$AP$20))+'reference data- 2'!M100</f>
        <v>5312558.2600977793</v>
      </c>
      <c r="N103" s="214">
        <f>(30*(N97*$AP$17)+(N98*$AP$18)+(N99*$AP$19)+(N100*$AP$20))+'reference data- 2'!N100</f>
        <v>5312558.2600977793</v>
      </c>
      <c r="O103" s="214">
        <f>(30*(O97*$AP$17)+(O98*$AP$18)+(O99*$AP$19)+(O100*$AP$20))+'reference data- 2'!O100</f>
        <v>5312558.2600977793</v>
      </c>
      <c r="P103" s="214">
        <f>(30*(P97*$AP$17)+(P98*$AP$18)+(P99*$AP$19)+(P100*$AP$20))+'reference data- 2'!P100</f>
        <v>5312558.2600977793</v>
      </c>
      <c r="Q103" s="214">
        <f>(30*(Q97*$AP$17)+(Q98*$AP$18)+(Q99*$AP$19)+(Q100*$AP$20))+'reference data- 2'!Q100</f>
        <v>5312558.2600977793</v>
      </c>
      <c r="R103" s="214">
        <f>(30*(R97*$AP$17)+(R98*$AP$18)+(R99*$AP$19)+(R100*$AP$20))+'reference data- 2'!R100</f>
        <v>5312558.2600977793</v>
      </c>
      <c r="S103" s="214">
        <f>(30*(S97*$AP$17)+(S98*$AP$18)+(S99*$AP$19)+(S100*$AP$20))+'reference data- 2'!S100</f>
        <v>5312558.2600977793</v>
      </c>
      <c r="T103" s="214">
        <f>(30*(T97*$AP$17)+(T98*$AP$18)+(T99*$AP$19)+(T100*$AP$20))+'reference data- 2'!T100</f>
        <v>5312558.2600977793</v>
      </c>
      <c r="U103" s="194">
        <f>SUM(B103:T103)</f>
        <v>112470000.88660401</v>
      </c>
      <c r="V103" s="164"/>
      <c r="W103" s="168"/>
      <c r="X103" s="147"/>
      <c r="Y103" s="168"/>
      <c r="Z103" s="168"/>
      <c r="AA103" s="168"/>
      <c r="AB103" s="168"/>
      <c r="AC103" s="168"/>
      <c r="AD103" s="168"/>
      <c r="AE103" s="168"/>
      <c r="AF103" s="168"/>
      <c r="AG103" s="168"/>
      <c r="AH103" s="168"/>
      <c r="AI103" s="168"/>
      <c r="AJ103" s="151"/>
      <c r="AK103" s="168"/>
      <c r="AL103" s="168"/>
      <c r="AM103" s="168"/>
      <c r="AN103" s="151"/>
      <c r="AO103" s="168"/>
      <c r="AP103" s="168"/>
      <c r="AQ103" s="168"/>
      <c r="AR103" s="168"/>
      <c r="AS103" s="168"/>
      <c r="AT103" s="168"/>
      <c r="AU103" s="168"/>
      <c r="AV103" s="168"/>
      <c r="AW103" s="168"/>
      <c r="AX103" s="168"/>
      <c r="AY103" s="168"/>
      <c r="AZ103" s="168"/>
      <c r="BA103" s="168"/>
      <c r="BB103" s="168"/>
      <c r="BC103" s="168"/>
      <c r="BD103" s="168"/>
      <c r="BE103" s="168"/>
      <c r="BF103" s="168"/>
      <c r="BG103" s="168"/>
      <c r="BH103" s="168"/>
      <c r="BI103" s="168"/>
      <c r="BJ103" s="168"/>
      <c r="BK103" s="168"/>
      <c r="BL103" s="168"/>
      <c r="BM103" s="168"/>
      <c r="BN103" s="168"/>
    </row>
    <row r="104" spans="1:66" s="155" customFormat="1" ht="15" thickBot="1" x14ac:dyDescent="0.4">
      <c r="A104" s="193" t="s">
        <v>113</v>
      </c>
      <c r="B104" s="214">
        <f>B103/1000</f>
        <v>6488.7093054599254</v>
      </c>
      <c r="C104" s="214">
        <f t="shared" ref="C104" si="129">C103/1000</f>
        <v>6488.7093054599254</v>
      </c>
      <c r="D104" s="214">
        <f t="shared" ref="D104" si="130">D103/1000</f>
        <v>6488.7093054599254</v>
      </c>
      <c r="E104" s="214">
        <f t="shared" ref="E104" si="131">E103/1000</f>
        <v>6488.7093054599254</v>
      </c>
      <c r="F104" s="214">
        <f t="shared" ref="F104" si="132">F103/1000</f>
        <v>6488.7093054599254</v>
      </c>
      <c r="G104" s="214">
        <f t="shared" ref="G104" si="133">G103/1000</f>
        <v>6488.7093054599254</v>
      </c>
      <c r="H104" s="214">
        <f t="shared" ref="H104" si="134">H103/1000</f>
        <v>6207.455794612456</v>
      </c>
      <c r="I104" s="214">
        <f t="shared" ref="I104" si="135">I103/1000</f>
        <v>6207.455794612456</v>
      </c>
      <c r="J104" s="214">
        <f t="shared" ref="J104" si="136">J103/1000</f>
        <v>6207.455794612456</v>
      </c>
      <c r="K104" s="214">
        <f t="shared" ref="K104" si="137">K103/1000</f>
        <v>6207.455794612456</v>
      </c>
      <c r="L104" s="214">
        <f t="shared" ref="L104" si="138">L103/1000</f>
        <v>6207.455794612456</v>
      </c>
      <c r="M104" s="214">
        <f t="shared" ref="M104" si="139">M103/1000</f>
        <v>5312.5582600977796</v>
      </c>
      <c r="N104" s="214">
        <f t="shared" ref="N104" si="140">N103/1000</f>
        <v>5312.5582600977796</v>
      </c>
      <c r="O104" s="214">
        <f t="shared" ref="O104" si="141">O103/1000</f>
        <v>5312.5582600977796</v>
      </c>
      <c r="P104" s="214">
        <f t="shared" ref="P104" si="142">P103/1000</f>
        <v>5312.5582600977796</v>
      </c>
      <c r="Q104" s="214">
        <f t="shared" ref="Q104" si="143">Q103/1000</f>
        <v>5312.5582600977796</v>
      </c>
      <c r="R104" s="214">
        <f t="shared" ref="R104" si="144">R103/1000</f>
        <v>5312.5582600977796</v>
      </c>
      <c r="S104" s="214">
        <f t="shared" ref="S104" si="145">S103/1000</f>
        <v>5312.5582600977796</v>
      </c>
      <c r="T104" s="214">
        <f t="shared" ref="T104" si="146">T103/1000</f>
        <v>5312.5582600977796</v>
      </c>
      <c r="U104" s="214">
        <f t="shared" ref="U104" si="147">U103/1000</f>
        <v>112470.00088660402</v>
      </c>
      <c r="V104" s="164"/>
      <c r="W104" s="168"/>
      <c r="X104" s="147"/>
      <c r="Y104" s="168"/>
      <c r="Z104" s="168"/>
      <c r="AA104" s="168"/>
      <c r="AB104" s="168"/>
      <c r="AC104" s="168"/>
      <c r="AD104" s="168"/>
      <c r="AE104" s="168"/>
      <c r="AF104" s="168"/>
      <c r="AG104" s="168"/>
      <c r="AH104" s="168"/>
      <c r="AI104" s="168"/>
      <c r="AJ104" s="151"/>
      <c r="AK104" s="168"/>
      <c r="AL104" s="168"/>
      <c r="AM104" s="168"/>
      <c r="AN104" s="151"/>
      <c r="AO104" s="168"/>
      <c r="AP104" s="168"/>
      <c r="AQ104" s="168"/>
      <c r="AR104" s="168"/>
      <c r="AS104" s="168"/>
      <c r="AT104" s="168"/>
      <c r="AU104" s="168"/>
      <c r="AV104" s="168"/>
      <c r="AW104" s="168"/>
      <c r="AX104" s="168"/>
      <c r="AY104" s="168"/>
      <c r="AZ104" s="168"/>
      <c r="BA104" s="168"/>
      <c r="BB104" s="168"/>
      <c r="BC104" s="168"/>
      <c r="BD104" s="168"/>
      <c r="BE104" s="168"/>
      <c r="BF104" s="168"/>
      <c r="BG104" s="168"/>
      <c r="BH104" s="168"/>
      <c r="BI104" s="168"/>
      <c r="BJ104" s="168"/>
      <c r="BK104" s="168"/>
      <c r="BL104" s="168"/>
      <c r="BM104" s="168"/>
      <c r="BN104" s="168"/>
    </row>
    <row r="105" spans="1:66" s="79" customFormat="1" ht="15" thickBot="1" x14ac:dyDescent="0.4">
      <c r="A105" s="193" t="s">
        <v>64</v>
      </c>
      <c r="B105" s="215">
        <f>B104*143</f>
        <v>927885.43068076938</v>
      </c>
      <c r="C105" s="215">
        <f t="shared" ref="C105:U105" si="148">C104*143</f>
        <v>927885.43068076938</v>
      </c>
      <c r="D105" s="215">
        <f t="shared" si="148"/>
        <v>927885.43068076938</v>
      </c>
      <c r="E105" s="215">
        <f t="shared" si="148"/>
        <v>927885.43068076938</v>
      </c>
      <c r="F105" s="215">
        <f t="shared" si="148"/>
        <v>927885.43068076938</v>
      </c>
      <c r="G105" s="215">
        <f t="shared" si="148"/>
        <v>927885.43068076938</v>
      </c>
      <c r="H105" s="215">
        <f t="shared" si="148"/>
        <v>887666.17862958123</v>
      </c>
      <c r="I105" s="215">
        <f t="shared" si="148"/>
        <v>887666.17862958123</v>
      </c>
      <c r="J105" s="215">
        <f t="shared" si="148"/>
        <v>887666.17862958123</v>
      </c>
      <c r="K105" s="215">
        <f t="shared" si="148"/>
        <v>887666.17862958123</v>
      </c>
      <c r="L105" s="215">
        <f t="shared" si="148"/>
        <v>887666.17862958123</v>
      </c>
      <c r="M105" s="215">
        <f t="shared" si="148"/>
        <v>759695.83119398251</v>
      </c>
      <c r="N105" s="215">
        <f t="shared" si="148"/>
        <v>759695.83119398251</v>
      </c>
      <c r="O105" s="215">
        <f t="shared" si="148"/>
        <v>759695.83119398251</v>
      </c>
      <c r="P105" s="215">
        <f t="shared" si="148"/>
        <v>759695.83119398251</v>
      </c>
      <c r="Q105" s="215">
        <f t="shared" si="148"/>
        <v>759695.83119398251</v>
      </c>
      <c r="R105" s="215">
        <f t="shared" si="148"/>
        <v>759695.83119398251</v>
      </c>
      <c r="S105" s="215">
        <f t="shared" si="148"/>
        <v>759695.83119398251</v>
      </c>
      <c r="T105" s="215">
        <f t="shared" si="148"/>
        <v>759695.83119398251</v>
      </c>
      <c r="U105" s="215">
        <f t="shared" si="148"/>
        <v>16083210.126784375</v>
      </c>
      <c r="V105" s="159"/>
      <c r="W105" s="168"/>
      <c r="X105" s="147"/>
      <c r="Y105" s="168"/>
      <c r="Z105" s="168"/>
      <c r="AA105" s="168"/>
      <c r="AB105" s="168"/>
      <c r="AC105" s="168"/>
      <c r="AD105" s="168"/>
      <c r="AE105" s="168"/>
      <c r="AF105" s="168"/>
      <c r="AG105" s="168"/>
      <c r="AH105" s="168"/>
      <c r="AI105" s="168"/>
      <c r="AJ105" s="151"/>
      <c r="AK105" s="168"/>
      <c r="AL105" s="168"/>
      <c r="AM105" s="168"/>
      <c r="AN105" s="151"/>
      <c r="AO105" s="168"/>
      <c r="AP105" s="168"/>
      <c r="AQ105" s="168"/>
      <c r="AR105" s="168"/>
      <c r="AS105" s="168"/>
      <c r="AT105" s="168"/>
      <c r="AU105" s="168"/>
      <c r="AV105" s="168"/>
      <c r="AW105" s="168"/>
      <c r="AX105" s="168"/>
      <c r="AY105" s="168"/>
      <c r="AZ105" s="168"/>
      <c r="BA105" s="168"/>
      <c r="BB105" s="168"/>
      <c r="BC105" s="168"/>
      <c r="BD105" s="168"/>
      <c r="BE105" s="168"/>
      <c r="BF105" s="168"/>
      <c r="BG105" s="168"/>
      <c r="BH105" s="168"/>
      <c r="BI105" s="168"/>
      <c r="BJ105" s="168"/>
      <c r="BK105" s="168"/>
      <c r="BL105" s="168"/>
      <c r="BM105" s="168"/>
      <c r="BN105" s="168"/>
    </row>
    <row r="106" spans="1:66" x14ac:dyDescent="0.35">
      <c r="A106" s="193"/>
      <c r="B106" s="213"/>
      <c r="C106" s="196"/>
      <c r="D106" s="194"/>
      <c r="E106" s="194"/>
      <c r="F106" s="194"/>
      <c r="G106" s="194"/>
      <c r="H106" s="214"/>
      <c r="I106" s="194"/>
      <c r="J106" s="194"/>
      <c r="K106" s="194"/>
      <c r="L106" s="194"/>
      <c r="M106" s="214"/>
      <c r="N106" s="194"/>
      <c r="O106" s="194"/>
      <c r="P106" s="194"/>
      <c r="Q106" s="194"/>
      <c r="R106" s="194"/>
      <c r="S106" s="194"/>
      <c r="T106" s="194"/>
      <c r="U106" s="194"/>
      <c r="V106" s="159"/>
      <c r="W106" s="168"/>
    </row>
    <row r="107" spans="1:66" ht="15" thickBot="1" x14ac:dyDescent="0.4">
      <c r="A107" s="197"/>
      <c r="B107" s="216"/>
      <c r="C107" s="198"/>
      <c r="D107" s="198"/>
      <c r="E107" s="198"/>
      <c r="F107" s="198"/>
      <c r="G107" s="198"/>
      <c r="H107" s="216"/>
      <c r="I107" s="198"/>
      <c r="J107" s="198"/>
      <c r="K107" s="198"/>
      <c r="L107" s="198"/>
      <c r="M107" s="216"/>
      <c r="N107" s="198"/>
      <c r="O107" s="198"/>
      <c r="P107" s="198"/>
      <c r="Q107" s="198"/>
      <c r="R107" s="198"/>
      <c r="S107" s="198"/>
      <c r="T107" s="198"/>
      <c r="U107" s="198"/>
      <c r="V107" s="159"/>
      <c r="W107" s="168"/>
    </row>
    <row r="108" spans="1:66" x14ac:dyDescent="0.35">
      <c r="A108" s="179"/>
      <c r="B108" s="212"/>
      <c r="C108" s="179"/>
      <c r="D108" s="179"/>
      <c r="E108" s="179"/>
      <c r="F108" s="179"/>
      <c r="G108" s="179"/>
      <c r="H108" s="212"/>
      <c r="I108" s="179"/>
      <c r="J108" s="179"/>
      <c r="K108" s="179"/>
      <c r="L108" s="179"/>
      <c r="M108" s="212"/>
      <c r="N108" s="179"/>
      <c r="O108" s="179"/>
      <c r="P108" s="179"/>
      <c r="Q108" s="179"/>
      <c r="R108" s="179"/>
      <c r="S108" s="179"/>
      <c r="T108" s="179"/>
      <c r="U108" s="179"/>
      <c r="V108" s="160"/>
      <c r="W108" s="168"/>
    </row>
    <row r="109" spans="1:66" x14ac:dyDescent="0.35">
      <c r="A109" s="179"/>
      <c r="B109" s="212"/>
      <c r="C109" s="179"/>
      <c r="D109" s="179"/>
      <c r="E109" s="179"/>
      <c r="F109" s="179"/>
      <c r="G109" s="179"/>
      <c r="H109" s="212"/>
      <c r="I109" s="179"/>
      <c r="J109" s="179"/>
      <c r="K109" s="179"/>
      <c r="L109" s="179"/>
      <c r="M109" s="212"/>
      <c r="N109" s="179"/>
      <c r="O109" s="179"/>
      <c r="P109" s="179"/>
      <c r="Q109" s="179"/>
      <c r="R109" s="179"/>
      <c r="S109" s="179"/>
      <c r="T109" s="179"/>
      <c r="U109" s="179"/>
      <c r="V109" s="159"/>
      <c r="W109" s="168"/>
    </row>
    <row r="110" spans="1:66" x14ac:dyDescent="0.35">
      <c r="A110" s="180" t="s">
        <v>0</v>
      </c>
      <c r="B110" s="209" t="s">
        <v>1</v>
      </c>
      <c r="C110" s="181" t="s">
        <v>2</v>
      </c>
      <c r="D110" s="182" t="s">
        <v>3</v>
      </c>
      <c r="E110" s="182" t="s">
        <v>4</v>
      </c>
      <c r="F110" s="182" t="s">
        <v>5</v>
      </c>
      <c r="G110" s="182" t="s">
        <v>6</v>
      </c>
      <c r="H110" s="209" t="s">
        <v>7</v>
      </c>
      <c r="I110" s="182" t="s">
        <v>8</v>
      </c>
      <c r="J110" s="182" t="s">
        <v>9</v>
      </c>
      <c r="K110" s="182" t="s">
        <v>10</v>
      </c>
      <c r="L110" s="182" t="s">
        <v>11</v>
      </c>
      <c r="M110" s="209" t="s">
        <v>12</v>
      </c>
      <c r="N110" s="182" t="s">
        <v>13</v>
      </c>
      <c r="O110" s="182" t="s">
        <v>14</v>
      </c>
      <c r="P110" s="182" t="s">
        <v>15</v>
      </c>
      <c r="Q110" s="182" t="s">
        <v>16</v>
      </c>
      <c r="R110" s="183" t="s">
        <v>17</v>
      </c>
      <c r="S110" s="184" t="s">
        <v>23</v>
      </c>
      <c r="T110" s="184" t="s">
        <v>24</v>
      </c>
      <c r="U110" s="185" t="s">
        <v>18</v>
      </c>
      <c r="V110" s="159"/>
      <c r="W110" s="168"/>
    </row>
    <row r="111" spans="1:66" x14ac:dyDescent="0.35">
      <c r="A111" s="154" t="s">
        <v>33</v>
      </c>
      <c r="B111" s="217">
        <v>466</v>
      </c>
      <c r="C111" s="199">
        <v>466</v>
      </c>
      <c r="D111" s="199">
        <v>466</v>
      </c>
      <c r="E111" s="199">
        <v>466</v>
      </c>
      <c r="F111" s="199">
        <v>466</v>
      </c>
      <c r="G111" s="199">
        <v>466</v>
      </c>
      <c r="H111" s="217">
        <v>466</v>
      </c>
      <c r="I111" s="199">
        <v>466</v>
      </c>
      <c r="J111" s="199">
        <v>466</v>
      </c>
      <c r="K111" s="199">
        <v>466</v>
      </c>
      <c r="L111" s="199">
        <v>466</v>
      </c>
      <c r="M111" s="217">
        <v>466</v>
      </c>
      <c r="N111" s="199">
        <v>466</v>
      </c>
      <c r="O111" s="199">
        <v>466</v>
      </c>
      <c r="P111" s="199">
        <v>466</v>
      </c>
      <c r="Q111" s="199">
        <v>466</v>
      </c>
      <c r="R111" s="199">
        <v>466</v>
      </c>
      <c r="S111" s="199">
        <v>466</v>
      </c>
      <c r="T111" s="199">
        <v>466</v>
      </c>
      <c r="U111" s="200">
        <v>8850</v>
      </c>
      <c r="V111" s="159"/>
      <c r="W111" s="168"/>
    </row>
    <row r="112" spans="1:66" x14ac:dyDescent="0.35">
      <c r="A112" s="187" t="s">
        <v>20</v>
      </c>
      <c r="B112" s="218">
        <f>B111*0.16</f>
        <v>74.56</v>
      </c>
      <c r="C112" s="201">
        <f t="shared" ref="C112:U112" si="149">C111*0.16</f>
        <v>74.56</v>
      </c>
      <c r="D112" s="201">
        <f t="shared" si="149"/>
        <v>74.56</v>
      </c>
      <c r="E112" s="201">
        <f t="shared" si="149"/>
        <v>74.56</v>
      </c>
      <c r="F112" s="201">
        <f t="shared" si="149"/>
        <v>74.56</v>
      </c>
      <c r="G112" s="201">
        <f t="shared" si="149"/>
        <v>74.56</v>
      </c>
      <c r="H112" s="218">
        <f t="shared" si="149"/>
        <v>74.56</v>
      </c>
      <c r="I112" s="201">
        <f t="shared" si="149"/>
        <v>74.56</v>
      </c>
      <c r="J112" s="201">
        <f t="shared" si="149"/>
        <v>74.56</v>
      </c>
      <c r="K112" s="201">
        <f t="shared" si="149"/>
        <v>74.56</v>
      </c>
      <c r="L112" s="201">
        <f t="shared" si="149"/>
        <v>74.56</v>
      </c>
      <c r="M112" s="218">
        <f t="shared" si="149"/>
        <v>74.56</v>
      </c>
      <c r="N112" s="201">
        <f t="shared" si="149"/>
        <v>74.56</v>
      </c>
      <c r="O112" s="201">
        <f t="shared" si="149"/>
        <v>74.56</v>
      </c>
      <c r="P112" s="201">
        <f t="shared" si="149"/>
        <v>74.56</v>
      </c>
      <c r="Q112" s="201">
        <f t="shared" si="149"/>
        <v>74.56</v>
      </c>
      <c r="R112" s="201">
        <f t="shared" si="149"/>
        <v>74.56</v>
      </c>
      <c r="S112" s="201">
        <f t="shared" si="149"/>
        <v>74.56</v>
      </c>
      <c r="T112" s="201">
        <f t="shared" si="149"/>
        <v>74.56</v>
      </c>
      <c r="U112" s="202">
        <f t="shared" si="149"/>
        <v>1416</v>
      </c>
      <c r="V112" s="167"/>
      <c r="W112" s="168"/>
    </row>
    <row r="113" spans="1:66" s="80" customFormat="1" ht="15" thickBot="1" x14ac:dyDescent="0.4">
      <c r="A113" s="187" t="s">
        <v>21</v>
      </c>
      <c r="B113" s="218">
        <f>B111*0.3</f>
        <v>139.79999999999998</v>
      </c>
      <c r="C113" s="201">
        <f t="shared" ref="C113:U113" si="150">C111*0.3</f>
        <v>139.79999999999998</v>
      </c>
      <c r="D113" s="201">
        <f t="shared" si="150"/>
        <v>139.79999999999998</v>
      </c>
      <c r="E113" s="201">
        <f t="shared" si="150"/>
        <v>139.79999999999998</v>
      </c>
      <c r="F113" s="201">
        <f t="shared" si="150"/>
        <v>139.79999999999998</v>
      </c>
      <c r="G113" s="201">
        <f t="shared" si="150"/>
        <v>139.79999999999998</v>
      </c>
      <c r="H113" s="218">
        <f t="shared" si="150"/>
        <v>139.79999999999998</v>
      </c>
      <c r="I113" s="201">
        <f t="shared" si="150"/>
        <v>139.79999999999998</v>
      </c>
      <c r="J113" s="201">
        <f t="shared" si="150"/>
        <v>139.79999999999998</v>
      </c>
      <c r="K113" s="201">
        <f t="shared" si="150"/>
        <v>139.79999999999998</v>
      </c>
      <c r="L113" s="201">
        <f t="shared" si="150"/>
        <v>139.79999999999998</v>
      </c>
      <c r="M113" s="218">
        <f t="shared" si="150"/>
        <v>139.79999999999998</v>
      </c>
      <c r="N113" s="201">
        <f t="shared" si="150"/>
        <v>139.79999999999998</v>
      </c>
      <c r="O113" s="201">
        <f t="shared" si="150"/>
        <v>139.79999999999998</v>
      </c>
      <c r="P113" s="201">
        <f t="shared" si="150"/>
        <v>139.79999999999998</v>
      </c>
      <c r="Q113" s="201">
        <f t="shared" si="150"/>
        <v>139.79999999999998</v>
      </c>
      <c r="R113" s="201">
        <f t="shared" si="150"/>
        <v>139.79999999999998</v>
      </c>
      <c r="S113" s="201">
        <f t="shared" si="150"/>
        <v>139.79999999999998</v>
      </c>
      <c r="T113" s="201">
        <f t="shared" si="150"/>
        <v>139.79999999999998</v>
      </c>
      <c r="U113" s="202">
        <f t="shared" si="150"/>
        <v>2655</v>
      </c>
      <c r="V113" s="159"/>
      <c r="W113" s="168"/>
      <c r="X113" s="147"/>
      <c r="Y113" s="168"/>
      <c r="Z113" s="168"/>
      <c r="AA113" s="168"/>
      <c r="AB113" s="168"/>
      <c r="AC113" s="168"/>
      <c r="AD113" s="168"/>
      <c r="AE113" s="168"/>
      <c r="AF113" s="168"/>
      <c r="AG113" s="168"/>
      <c r="AH113" s="168"/>
      <c r="AI113" s="168"/>
      <c r="AJ113" s="151"/>
      <c r="AK113" s="168"/>
      <c r="AL113" s="168"/>
      <c r="AM113" s="168"/>
      <c r="AN113" s="151"/>
      <c r="AO113" s="168"/>
      <c r="AP113" s="168"/>
      <c r="AQ113" s="168"/>
      <c r="AR113" s="168"/>
      <c r="AS113" s="168"/>
      <c r="AT113" s="168"/>
      <c r="AU113" s="168"/>
      <c r="AV113" s="168"/>
      <c r="AW113" s="168"/>
      <c r="AX113" s="168"/>
      <c r="AY113" s="168"/>
      <c r="AZ113" s="168"/>
      <c r="BA113" s="168"/>
      <c r="BB113" s="168"/>
      <c r="BC113" s="168"/>
      <c r="BD113" s="168"/>
      <c r="BE113" s="168"/>
      <c r="BF113" s="168"/>
      <c r="BG113" s="168"/>
      <c r="BH113" s="168"/>
      <c r="BI113" s="168"/>
      <c r="BJ113" s="168"/>
      <c r="BK113" s="168"/>
      <c r="BL113" s="168"/>
      <c r="BM113" s="168"/>
      <c r="BN113" s="168"/>
    </row>
    <row r="114" spans="1:66" ht="15" thickBot="1" x14ac:dyDescent="0.4">
      <c r="A114" s="187" t="s">
        <v>26</v>
      </c>
      <c r="B114" s="218">
        <f>B111*0.39</f>
        <v>181.74</v>
      </c>
      <c r="C114" s="201">
        <f t="shared" ref="C114:U114" si="151">C111*0.39</f>
        <v>181.74</v>
      </c>
      <c r="D114" s="201">
        <f t="shared" si="151"/>
        <v>181.74</v>
      </c>
      <c r="E114" s="201">
        <f t="shared" si="151"/>
        <v>181.74</v>
      </c>
      <c r="F114" s="201">
        <f t="shared" si="151"/>
        <v>181.74</v>
      </c>
      <c r="G114" s="201">
        <f t="shared" si="151"/>
        <v>181.74</v>
      </c>
      <c r="H114" s="218">
        <f t="shared" si="151"/>
        <v>181.74</v>
      </c>
      <c r="I114" s="201">
        <f t="shared" si="151"/>
        <v>181.74</v>
      </c>
      <c r="J114" s="201">
        <f t="shared" si="151"/>
        <v>181.74</v>
      </c>
      <c r="K114" s="201">
        <f t="shared" si="151"/>
        <v>181.74</v>
      </c>
      <c r="L114" s="201">
        <f t="shared" si="151"/>
        <v>181.74</v>
      </c>
      <c r="M114" s="218">
        <f t="shared" si="151"/>
        <v>181.74</v>
      </c>
      <c r="N114" s="201">
        <f t="shared" si="151"/>
        <v>181.74</v>
      </c>
      <c r="O114" s="201">
        <f t="shared" si="151"/>
        <v>181.74</v>
      </c>
      <c r="P114" s="201">
        <f t="shared" si="151"/>
        <v>181.74</v>
      </c>
      <c r="Q114" s="201">
        <f t="shared" si="151"/>
        <v>181.74</v>
      </c>
      <c r="R114" s="201">
        <f t="shared" si="151"/>
        <v>181.74</v>
      </c>
      <c r="S114" s="201">
        <f t="shared" si="151"/>
        <v>181.74</v>
      </c>
      <c r="T114" s="201">
        <f t="shared" si="151"/>
        <v>181.74</v>
      </c>
      <c r="U114" s="202">
        <f t="shared" si="151"/>
        <v>3451.5</v>
      </c>
      <c r="V114" s="161"/>
      <c r="W114" s="168"/>
    </row>
    <row r="115" spans="1:66" s="78" customFormat="1" x14ac:dyDescent="0.35">
      <c r="A115" s="190" t="s">
        <v>22</v>
      </c>
      <c r="B115" s="218">
        <f>B111*0.15</f>
        <v>69.899999999999991</v>
      </c>
      <c r="C115" s="201">
        <f t="shared" ref="C115:U115" si="152">C111*0.15</f>
        <v>69.899999999999991</v>
      </c>
      <c r="D115" s="201">
        <f t="shared" si="152"/>
        <v>69.899999999999991</v>
      </c>
      <c r="E115" s="201">
        <f t="shared" si="152"/>
        <v>69.899999999999991</v>
      </c>
      <c r="F115" s="201">
        <f t="shared" si="152"/>
        <v>69.899999999999991</v>
      </c>
      <c r="G115" s="201">
        <f t="shared" si="152"/>
        <v>69.899999999999991</v>
      </c>
      <c r="H115" s="218">
        <f t="shared" si="152"/>
        <v>69.899999999999991</v>
      </c>
      <c r="I115" s="201">
        <f t="shared" si="152"/>
        <v>69.899999999999991</v>
      </c>
      <c r="J115" s="201">
        <f t="shared" si="152"/>
        <v>69.899999999999991</v>
      </c>
      <c r="K115" s="201">
        <f t="shared" si="152"/>
        <v>69.899999999999991</v>
      </c>
      <c r="L115" s="201">
        <f t="shared" si="152"/>
        <v>69.899999999999991</v>
      </c>
      <c r="M115" s="218">
        <f t="shared" si="152"/>
        <v>69.899999999999991</v>
      </c>
      <c r="N115" s="201">
        <f t="shared" si="152"/>
        <v>69.899999999999991</v>
      </c>
      <c r="O115" s="201">
        <f t="shared" si="152"/>
        <v>69.899999999999991</v>
      </c>
      <c r="P115" s="201">
        <f t="shared" si="152"/>
        <v>69.899999999999991</v>
      </c>
      <c r="Q115" s="201">
        <f t="shared" si="152"/>
        <v>69.899999999999991</v>
      </c>
      <c r="R115" s="201">
        <f t="shared" si="152"/>
        <v>69.899999999999991</v>
      </c>
      <c r="S115" s="201">
        <f t="shared" si="152"/>
        <v>69.899999999999991</v>
      </c>
      <c r="T115" s="201">
        <f t="shared" si="152"/>
        <v>69.899999999999991</v>
      </c>
      <c r="U115" s="202">
        <f t="shared" si="152"/>
        <v>1327.5</v>
      </c>
      <c r="V115" s="162"/>
      <c r="W115" s="168"/>
      <c r="X115" s="147"/>
      <c r="Y115" s="168"/>
      <c r="Z115" s="168"/>
      <c r="AA115" s="168"/>
      <c r="AB115" s="168"/>
      <c r="AC115" s="168"/>
      <c r="AD115" s="168"/>
      <c r="AE115" s="168"/>
      <c r="AF115" s="168"/>
      <c r="AG115" s="168"/>
      <c r="AH115" s="168"/>
      <c r="AI115" s="168"/>
      <c r="AJ115" s="151"/>
      <c r="AK115" s="168"/>
      <c r="AL115" s="168"/>
      <c r="AM115" s="168"/>
      <c r="AN115" s="151"/>
      <c r="AO115" s="168"/>
      <c r="AP115" s="168"/>
      <c r="AQ115" s="168"/>
      <c r="AR115" s="168"/>
      <c r="AS115" s="168"/>
      <c r="AT115" s="168"/>
      <c r="AU115" s="168"/>
      <c r="AV115" s="168"/>
      <c r="AW115" s="168"/>
      <c r="AX115" s="168"/>
      <c r="AY115" s="168"/>
      <c r="AZ115" s="168"/>
      <c r="BA115" s="168"/>
      <c r="BB115" s="168"/>
      <c r="BC115" s="168"/>
      <c r="BD115" s="168"/>
      <c r="BE115" s="168"/>
      <c r="BF115" s="168"/>
      <c r="BG115" s="168"/>
      <c r="BH115" s="168"/>
      <c r="BI115" s="168"/>
      <c r="BJ115" s="168"/>
      <c r="BK115" s="168"/>
      <c r="BL115" s="168"/>
      <c r="BM115" s="168"/>
      <c r="BN115" s="168"/>
    </row>
    <row r="116" spans="1:66" s="77" customFormat="1" ht="15" thickBot="1" x14ac:dyDescent="0.4">
      <c r="A116" s="179"/>
      <c r="B116" s="212"/>
      <c r="C116" s="179"/>
      <c r="D116" s="179"/>
      <c r="E116" s="179"/>
      <c r="F116" s="179"/>
      <c r="G116" s="179"/>
      <c r="H116" s="212"/>
      <c r="I116" s="179"/>
      <c r="J116" s="179"/>
      <c r="K116" s="179"/>
      <c r="L116" s="179"/>
      <c r="M116" s="212"/>
      <c r="N116" s="179"/>
      <c r="O116" s="179"/>
      <c r="P116" s="179"/>
      <c r="Q116" s="179"/>
      <c r="R116" s="179"/>
      <c r="S116" s="179"/>
      <c r="T116" s="179"/>
      <c r="U116" s="179"/>
      <c r="V116" s="163"/>
      <c r="W116" s="168"/>
      <c r="X116" s="147"/>
      <c r="Y116" s="168"/>
      <c r="Z116" s="168"/>
      <c r="AA116" s="168"/>
      <c r="AB116" s="168"/>
      <c r="AC116" s="168"/>
      <c r="AD116" s="168"/>
      <c r="AE116" s="168"/>
      <c r="AF116" s="168"/>
      <c r="AG116" s="168"/>
      <c r="AH116" s="168"/>
      <c r="AI116" s="168"/>
      <c r="AJ116" s="151"/>
      <c r="AK116" s="168"/>
      <c r="AL116" s="168"/>
      <c r="AM116" s="168"/>
      <c r="AN116" s="151"/>
      <c r="AO116" s="168"/>
      <c r="AP116" s="168"/>
      <c r="AQ116" s="168"/>
      <c r="AR116" s="168"/>
      <c r="AS116" s="168"/>
      <c r="AT116" s="168"/>
      <c r="AU116" s="168"/>
      <c r="AV116" s="168"/>
      <c r="AW116" s="168"/>
      <c r="AX116" s="168"/>
      <c r="AY116" s="168"/>
      <c r="AZ116" s="168"/>
      <c r="BA116" s="168"/>
      <c r="BB116" s="168"/>
      <c r="BC116" s="168"/>
      <c r="BD116" s="168"/>
      <c r="BE116" s="168"/>
      <c r="BF116" s="168"/>
      <c r="BG116" s="168"/>
      <c r="BH116" s="168"/>
      <c r="BI116" s="168"/>
      <c r="BJ116" s="168"/>
      <c r="BK116" s="168"/>
      <c r="BL116" s="168"/>
      <c r="BM116" s="168"/>
      <c r="BN116" s="168"/>
    </row>
    <row r="117" spans="1:66" s="77" customFormat="1" x14ac:dyDescent="0.35">
      <c r="A117" s="191" t="s">
        <v>55</v>
      </c>
      <c r="B117" s="213"/>
      <c r="C117" s="192"/>
      <c r="D117" s="192"/>
      <c r="E117" s="192"/>
      <c r="F117" s="192"/>
      <c r="G117" s="192"/>
      <c r="H117" s="213"/>
      <c r="I117" s="192"/>
      <c r="J117" s="192"/>
      <c r="K117" s="192"/>
      <c r="L117" s="192"/>
      <c r="M117" s="213"/>
      <c r="N117" s="192"/>
      <c r="O117" s="192"/>
      <c r="P117" s="192"/>
      <c r="Q117" s="192"/>
      <c r="R117" s="192"/>
      <c r="S117" s="192"/>
      <c r="T117" s="192"/>
      <c r="U117" s="192"/>
      <c r="V117" s="162"/>
      <c r="W117" s="168"/>
      <c r="X117" s="147"/>
      <c r="Y117" s="168"/>
      <c r="Z117" s="168"/>
      <c r="AA117" s="168"/>
      <c r="AB117" s="168"/>
      <c r="AC117" s="168"/>
      <c r="AD117" s="168"/>
      <c r="AE117" s="168"/>
      <c r="AF117" s="168"/>
      <c r="AG117" s="168"/>
      <c r="AH117" s="168"/>
      <c r="AI117" s="168"/>
      <c r="AJ117" s="151"/>
      <c r="AK117" s="168"/>
      <c r="AL117" s="168"/>
      <c r="AM117" s="168"/>
      <c r="AN117" s="151"/>
      <c r="AO117" s="168"/>
      <c r="AP117" s="168"/>
      <c r="AQ117" s="168"/>
      <c r="AR117" s="168"/>
      <c r="AS117" s="168"/>
      <c r="AT117" s="168"/>
      <c r="AU117" s="168"/>
      <c r="AV117" s="168"/>
      <c r="AW117" s="168"/>
      <c r="AX117" s="168"/>
      <c r="AY117" s="168"/>
      <c r="AZ117" s="168"/>
      <c r="BA117" s="168"/>
      <c r="BB117" s="168"/>
      <c r="BC117" s="168"/>
      <c r="BD117" s="168"/>
      <c r="BE117" s="168"/>
      <c r="BF117" s="168"/>
      <c r="BG117" s="168"/>
      <c r="BH117" s="168"/>
      <c r="BI117" s="168"/>
      <c r="BJ117" s="168"/>
      <c r="BK117" s="168"/>
      <c r="BL117" s="168"/>
      <c r="BM117" s="168"/>
      <c r="BN117" s="168"/>
    </row>
    <row r="118" spans="1:66" s="77" customFormat="1" ht="15" thickBot="1" x14ac:dyDescent="0.4">
      <c r="A118" s="193" t="s">
        <v>112</v>
      </c>
      <c r="B118" s="214">
        <f>(30*(B112*$AH$17)+(B113*$AH$18)+(B114*$AH$19)+(B115*$AH$20))+'reference data- 2'!B115</f>
        <v>3262218.025444584</v>
      </c>
      <c r="C118" s="214">
        <f>(30*(C112*$AH$17)+(C113*$AH$18)+(C114*$AH$19)+(C115*$AH$20))+'reference data- 2'!C115</f>
        <v>3262218.025444584</v>
      </c>
      <c r="D118" s="214">
        <f>(30*(D112*$AH$17)+(D113*$AH$18)+(D114*$AH$19)+(D115*$AH$20))+'reference data- 2'!D115</f>
        <v>3262218.025444584</v>
      </c>
      <c r="E118" s="214">
        <f>(30*(E112*$AH$17)+(E113*$AH$18)+(E114*$AH$19)+(E115*$AH$20))+'reference data- 2'!E115</f>
        <v>3262218.025444584</v>
      </c>
      <c r="F118" s="214">
        <f>(30*(F112*$AH$17)+(F113*$AH$18)+(F114*$AH$19)+(F115*$AH$20))+'reference data- 2'!F115</f>
        <v>3262218.025444584</v>
      </c>
      <c r="G118" s="214">
        <f>(30*(G112*$AH$17)+(G113*$AH$18)+(G114*$AH$19)+(G115*$AH$20))+'reference data- 2'!G115</f>
        <v>3262218.025444584</v>
      </c>
      <c r="H118" s="214">
        <f>(30*(H112*$AL$17)+(H113*$AL$18)+(H114*$AL$19)+(H115*$AL$20))+'reference data- 2'!H115</f>
        <v>3139810.1276309853</v>
      </c>
      <c r="I118" s="214">
        <f>(30*(I112*$AL$17)+(I113*$AL$18)+(I114*$AL$19)+(I115*$AL$20))+'reference data- 2'!I115</f>
        <v>3139810.1276309853</v>
      </c>
      <c r="J118" s="214">
        <f>(30*(J112*$AL$17)+(J113*$AL$18)+(J114*$AL$19)+(J115*$AL$20))+'reference data- 2'!J115</f>
        <v>3139810.1276309853</v>
      </c>
      <c r="K118" s="214">
        <f>(30*(K112*$AL$17)+(K113*$AL$18)+(K114*$AL$19)+(K115*$AL$20))+'reference data- 2'!K115</f>
        <v>3139810.1276309853</v>
      </c>
      <c r="L118" s="214">
        <f>(30*(L112*$AL$17)+(L113*$AL$18)+(L114*$AL$19)+(L115*$AL$20))+'reference data- 2'!L115</f>
        <v>3139810.1276309853</v>
      </c>
      <c r="M118" s="214">
        <f>(30*(M112*$AP$17)+(M113*$AP$18)+(M114*$AP$19)+(M115*$AP$20))+'reference data- 2'!M115</f>
        <v>2750330.4527695347</v>
      </c>
      <c r="N118" s="214">
        <f>(30*(N112*$AP$17)+(N113*$AP$18)+(N114*$AP$19)+(N115*$AP$20))+'reference data- 2'!N115</f>
        <v>2750330.4527695347</v>
      </c>
      <c r="O118" s="214">
        <f>(30*(O112*$AP$17)+(O113*$AP$18)+(O114*$AP$19)+(O115*$AP$20))+'reference data- 2'!O115</f>
        <v>2750330.4527695347</v>
      </c>
      <c r="P118" s="214">
        <f>(30*(P112*$AP$17)+(P113*$AP$18)+(P114*$AP$19)+(P115*$AP$20))+'reference data- 2'!P115</f>
        <v>2750330.4527695347</v>
      </c>
      <c r="Q118" s="214">
        <f>(30*(Q112*$AP$17)+(Q113*$AP$18)+(Q114*$AP$19)+(Q115*$AP$20))+'reference data- 2'!Q115</f>
        <v>2750330.4527695347</v>
      </c>
      <c r="R118" s="214">
        <f>(30*(R112*$AP$17)+(R113*$AP$18)+(R114*$AP$19)+(R115*$AP$20))+'reference data- 2'!R115</f>
        <v>2750330.4527695347</v>
      </c>
      <c r="S118" s="214">
        <f>(30*(S112*$AP$17)+(S113*$AP$18)+(S114*$AP$19)+(S115*$AP$20))+'reference data- 2'!S115</f>
        <v>2750330.4527695347</v>
      </c>
      <c r="T118" s="214">
        <f>(30*(T112*$AP$17)+(T113*$AP$18)+(T114*$AP$19)+(T115*$AP$20))+'reference data- 2'!T115</f>
        <v>2750330.4527695347</v>
      </c>
      <c r="U118" s="194">
        <f>SUM(B118:T118)</f>
        <v>57275002.412978694</v>
      </c>
      <c r="V118" s="164"/>
      <c r="W118" s="168"/>
      <c r="X118" s="147"/>
      <c r="Y118" s="168"/>
      <c r="Z118" s="168"/>
      <c r="AA118" s="168"/>
      <c r="AB118" s="168"/>
      <c r="AC118" s="168"/>
      <c r="AD118" s="168"/>
      <c r="AE118" s="168"/>
      <c r="AF118" s="168"/>
      <c r="AG118" s="168"/>
      <c r="AH118" s="168"/>
      <c r="AI118" s="168"/>
      <c r="AJ118" s="151"/>
      <c r="AK118" s="168"/>
      <c r="AL118" s="168"/>
      <c r="AM118" s="168"/>
      <c r="AN118" s="151"/>
      <c r="AO118" s="168"/>
      <c r="AP118" s="168"/>
      <c r="AQ118" s="168"/>
      <c r="AR118" s="168"/>
      <c r="AS118" s="168"/>
      <c r="AT118" s="168"/>
      <c r="AU118" s="168"/>
      <c r="AV118" s="168"/>
      <c r="AW118" s="168"/>
      <c r="AX118" s="168"/>
      <c r="AY118" s="168"/>
      <c r="AZ118" s="168"/>
      <c r="BA118" s="168"/>
      <c r="BB118" s="168"/>
      <c r="BC118" s="168"/>
      <c r="BD118" s="168"/>
      <c r="BE118" s="168"/>
      <c r="BF118" s="168"/>
      <c r="BG118" s="168"/>
      <c r="BH118" s="168"/>
      <c r="BI118" s="168"/>
      <c r="BJ118" s="168"/>
      <c r="BK118" s="168"/>
      <c r="BL118" s="168"/>
      <c r="BM118" s="168"/>
      <c r="BN118" s="168"/>
    </row>
    <row r="119" spans="1:66" s="155" customFormat="1" ht="15" thickBot="1" x14ac:dyDescent="0.4">
      <c r="A119" s="193" t="s">
        <v>113</v>
      </c>
      <c r="B119" s="214">
        <f>B118/1000</f>
        <v>3262.2180254445839</v>
      </c>
      <c r="C119" s="214">
        <f t="shared" ref="C119" si="153">C118/1000</f>
        <v>3262.2180254445839</v>
      </c>
      <c r="D119" s="214">
        <f t="shared" ref="D119" si="154">D118/1000</f>
        <v>3262.2180254445839</v>
      </c>
      <c r="E119" s="214">
        <f t="shared" ref="E119" si="155">E118/1000</f>
        <v>3262.2180254445839</v>
      </c>
      <c r="F119" s="214">
        <f t="shared" ref="F119" si="156">F118/1000</f>
        <v>3262.2180254445839</v>
      </c>
      <c r="G119" s="214">
        <f t="shared" ref="G119" si="157">G118/1000</f>
        <v>3262.2180254445839</v>
      </c>
      <c r="H119" s="214">
        <f t="shared" ref="H119" si="158">H118/1000</f>
        <v>3139.8101276309853</v>
      </c>
      <c r="I119" s="214">
        <f t="shared" ref="I119" si="159">I118/1000</f>
        <v>3139.8101276309853</v>
      </c>
      <c r="J119" s="214">
        <f t="shared" ref="J119" si="160">J118/1000</f>
        <v>3139.8101276309853</v>
      </c>
      <c r="K119" s="214">
        <f t="shared" ref="K119" si="161">K118/1000</f>
        <v>3139.8101276309853</v>
      </c>
      <c r="L119" s="214">
        <f t="shared" ref="L119" si="162">L118/1000</f>
        <v>3139.8101276309853</v>
      </c>
      <c r="M119" s="214">
        <f t="shared" ref="M119" si="163">M118/1000</f>
        <v>2750.3304527695345</v>
      </c>
      <c r="N119" s="214">
        <f t="shared" ref="N119" si="164">N118/1000</f>
        <v>2750.3304527695345</v>
      </c>
      <c r="O119" s="214">
        <f t="shared" ref="O119" si="165">O118/1000</f>
        <v>2750.3304527695345</v>
      </c>
      <c r="P119" s="214">
        <f t="shared" ref="P119" si="166">P118/1000</f>
        <v>2750.3304527695345</v>
      </c>
      <c r="Q119" s="214">
        <f t="shared" ref="Q119" si="167">Q118/1000</f>
        <v>2750.3304527695345</v>
      </c>
      <c r="R119" s="214">
        <f t="shared" ref="R119" si="168">R118/1000</f>
        <v>2750.3304527695345</v>
      </c>
      <c r="S119" s="214">
        <f t="shared" ref="S119" si="169">S118/1000</f>
        <v>2750.3304527695345</v>
      </c>
      <c r="T119" s="214">
        <f t="shared" ref="T119" si="170">T118/1000</f>
        <v>2750.3304527695345</v>
      </c>
      <c r="U119" s="214">
        <f t="shared" ref="U119" si="171">U118/1000</f>
        <v>57275.002412978691</v>
      </c>
      <c r="V119" s="164"/>
      <c r="W119" s="168"/>
      <c r="X119" s="147"/>
      <c r="Y119" s="168"/>
      <c r="Z119" s="168"/>
      <c r="AA119" s="168"/>
      <c r="AB119" s="168"/>
      <c r="AC119" s="168"/>
      <c r="AD119" s="168"/>
      <c r="AE119" s="168"/>
      <c r="AF119" s="168"/>
      <c r="AG119" s="168"/>
      <c r="AH119" s="168"/>
      <c r="AI119" s="168"/>
      <c r="AJ119" s="151"/>
      <c r="AK119" s="168"/>
      <c r="AL119" s="168"/>
      <c r="AM119" s="168"/>
      <c r="AN119" s="151"/>
      <c r="AO119" s="168"/>
      <c r="AP119" s="168"/>
      <c r="AQ119" s="168"/>
      <c r="AR119" s="168"/>
      <c r="AS119" s="168"/>
      <c r="AT119" s="168"/>
      <c r="AU119" s="168"/>
      <c r="AV119" s="168"/>
      <c r="AW119" s="168"/>
      <c r="AX119" s="168"/>
      <c r="AY119" s="168"/>
      <c r="AZ119" s="168"/>
      <c r="BA119" s="168"/>
      <c r="BB119" s="168"/>
      <c r="BC119" s="168"/>
      <c r="BD119" s="168"/>
      <c r="BE119" s="168"/>
      <c r="BF119" s="168"/>
      <c r="BG119" s="168"/>
      <c r="BH119" s="168"/>
      <c r="BI119" s="168"/>
      <c r="BJ119" s="168"/>
      <c r="BK119" s="168"/>
      <c r="BL119" s="168"/>
      <c r="BM119" s="168"/>
      <c r="BN119" s="168"/>
    </row>
    <row r="120" spans="1:66" s="79" customFormat="1" ht="15" thickBot="1" x14ac:dyDescent="0.4">
      <c r="A120" s="193" t="s">
        <v>64</v>
      </c>
      <c r="B120" s="215">
        <f>B119*144</f>
        <v>469759.39566402009</v>
      </c>
      <c r="C120" s="215">
        <f t="shared" ref="C120:U120" si="172">C119*144</f>
        <v>469759.39566402009</v>
      </c>
      <c r="D120" s="215">
        <f t="shared" si="172"/>
        <v>469759.39566402009</v>
      </c>
      <c r="E120" s="215">
        <f t="shared" si="172"/>
        <v>469759.39566402009</v>
      </c>
      <c r="F120" s="215">
        <f t="shared" si="172"/>
        <v>469759.39566402009</v>
      </c>
      <c r="G120" s="215">
        <f t="shared" si="172"/>
        <v>469759.39566402009</v>
      </c>
      <c r="H120" s="215">
        <f t="shared" si="172"/>
        <v>452132.6583788619</v>
      </c>
      <c r="I120" s="215">
        <f t="shared" si="172"/>
        <v>452132.6583788619</v>
      </c>
      <c r="J120" s="215">
        <f t="shared" si="172"/>
        <v>452132.6583788619</v>
      </c>
      <c r="K120" s="215">
        <f t="shared" si="172"/>
        <v>452132.6583788619</v>
      </c>
      <c r="L120" s="215">
        <f t="shared" si="172"/>
        <v>452132.6583788619</v>
      </c>
      <c r="M120" s="215">
        <f t="shared" si="172"/>
        <v>396047.585198813</v>
      </c>
      <c r="N120" s="215">
        <f t="shared" si="172"/>
        <v>396047.585198813</v>
      </c>
      <c r="O120" s="215">
        <f t="shared" si="172"/>
        <v>396047.585198813</v>
      </c>
      <c r="P120" s="215">
        <f t="shared" si="172"/>
        <v>396047.585198813</v>
      </c>
      <c r="Q120" s="215">
        <f t="shared" si="172"/>
        <v>396047.585198813</v>
      </c>
      <c r="R120" s="215">
        <f t="shared" si="172"/>
        <v>396047.585198813</v>
      </c>
      <c r="S120" s="215">
        <f t="shared" si="172"/>
        <v>396047.585198813</v>
      </c>
      <c r="T120" s="215">
        <f t="shared" si="172"/>
        <v>396047.585198813</v>
      </c>
      <c r="U120" s="215">
        <f t="shared" si="172"/>
        <v>8247600.3474689312</v>
      </c>
      <c r="V120" s="159"/>
      <c r="W120" s="168"/>
      <c r="X120" s="147"/>
      <c r="Y120" s="168"/>
      <c r="Z120" s="168"/>
      <c r="AA120" s="168"/>
      <c r="AB120" s="168"/>
      <c r="AC120" s="168"/>
      <c r="AD120" s="168"/>
      <c r="AE120" s="168"/>
      <c r="AF120" s="168"/>
      <c r="AG120" s="168"/>
      <c r="AH120" s="168"/>
      <c r="AI120" s="168"/>
      <c r="AJ120" s="151"/>
      <c r="AK120" s="168"/>
      <c r="AL120" s="168"/>
      <c r="AM120" s="168"/>
      <c r="AN120" s="151"/>
      <c r="AO120" s="168"/>
      <c r="AP120" s="168"/>
      <c r="AQ120" s="168"/>
      <c r="AR120" s="168"/>
      <c r="AS120" s="168"/>
      <c r="AT120" s="168"/>
      <c r="AU120" s="168"/>
      <c r="AV120" s="168"/>
      <c r="AW120" s="168"/>
      <c r="AX120" s="168"/>
      <c r="AY120" s="168"/>
      <c r="AZ120" s="168"/>
      <c r="BA120" s="168"/>
      <c r="BB120" s="168"/>
      <c r="BC120" s="168"/>
      <c r="BD120" s="168"/>
      <c r="BE120" s="168"/>
      <c r="BF120" s="168"/>
      <c r="BG120" s="168"/>
      <c r="BH120" s="168"/>
      <c r="BI120" s="168"/>
      <c r="BJ120" s="168"/>
      <c r="BK120" s="168"/>
      <c r="BL120" s="168"/>
      <c r="BM120" s="168"/>
      <c r="BN120" s="168"/>
    </row>
    <row r="121" spans="1:66" x14ac:dyDescent="0.35">
      <c r="A121" s="193"/>
      <c r="B121" s="213"/>
      <c r="C121" s="196"/>
      <c r="D121" s="194"/>
      <c r="E121" s="194"/>
      <c r="F121" s="194"/>
      <c r="G121" s="194"/>
      <c r="H121" s="214"/>
      <c r="I121" s="194"/>
      <c r="J121" s="194"/>
      <c r="K121" s="194"/>
      <c r="L121" s="194"/>
      <c r="M121" s="214"/>
      <c r="N121" s="194"/>
      <c r="O121" s="194"/>
      <c r="P121" s="194"/>
      <c r="Q121" s="194"/>
      <c r="R121" s="194"/>
      <c r="S121" s="194"/>
      <c r="T121" s="194"/>
      <c r="U121" s="194"/>
      <c r="V121" s="159"/>
      <c r="W121" s="168"/>
    </row>
    <row r="122" spans="1:66" ht="15" thickBot="1" x14ac:dyDescent="0.4">
      <c r="A122" s="197"/>
      <c r="B122" s="216"/>
      <c r="C122" s="198"/>
      <c r="D122" s="198"/>
      <c r="E122" s="198"/>
      <c r="F122" s="198"/>
      <c r="G122" s="198"/>
      <c r="H122" s="216"/>
      <c r="I122" s="198"/>
      <c r="J122" s="198"/>
      <c r="K122" s="198"/>
      <c r="L122" s="198"/>
      <c r="M122" s="216"/>
      <c r="N122" s="198"/>
      <c r="O122" s="198"/>
      <c r="P122" s="198"/>
      <c r="Q122" s="198"/>
      <c r="R122" s="198"/>
      <c r="S122" s="198"/>
      <c r="T122" s="198"/>
      <c r="U122" s="198"/>
      <c r="V122" s="159"/>
      <c r="W122" s="168"/>
    </row>
    <row r="123" spans="1:66" x14ac:dyDescent="0.35">
      <c r="A123" s="179"/>
      <c r="B123" s="212"/>
      <c r="C123" s="179"/>
      <c r="D123" s="179"/>
      <c r="E123" s="179"/>
      <c r="F123" s="179"/>
      <c r="G123" s="179"/>
      <c r="H123" s="212"/>
      <c r="I123" s="179"/>
      <c r="J123" s="179"/>
      <c r="K123" s="179"/>
      <c r="L123" s="179"/>
      <c r="M123" s="212"/>
      <c r="N123" s="179"/>
      <c r="O123" s="179"/>
      <c r="P123" s="179"/>
      <c r="Q123" s="179"/>
      <c r="R123" s="179"/>
      <c r="S123" s="179"/>
      <c r="T123" s="179"/>
      <c r="U123" s="179"/>
      <c r="V123" s="160"/>
      <c r="W123" s="168"/>
    </row>
    <row r="124" spans="1:66" x14ac:dyDescent="0.35">
      <c r="A124" s="179"/>
      <c r="B124" s="212"/>
      <c r="C124" s="179"/>
      <c r="D124" s="179"/>
      <c r="E124" s="179"/>
      <c r="F124" s="179"/>
      <c r="G124" s="179"/>
      <c r="H124" s="212"/>
      <c r="I124" s="179"/>
      <c r="J124" s="179"/>
      <c r="K124" s="179"/>
      <c r="L124" s="179"/>
      <c r="M124" s="212"/>
      <c r="N124" s="179"/>
      <c r="O124" s="179"/>
      <c r="P124" s="179"/>
      <c r="Q124" s="179"/>
      <c r="R124" s="179"/>
      <c r="S124" s="179"/>
      <c r="T124" s="179"/>
      <c r="U124" s="179"/>
      <c r="V124" s="159"/>
      <c r="W124" s="168"/>
    </row>
    <row r="125" spans="1:66" x14ac:dyDescent="0.35">
      <c r="A125" s="180" t="s">
        <v>0</v>
      </c>
      <c r="B125" s="209" t="s">
        <v>1</v>
      </c>
      <c r="C125" s="181" t="s">
        <v>2</v>
      </c>
      <c r="D125" s="182" t="s">
        <v>3</v>
      </c>
      <c r="E125" s="182" t="s">
        <v>4</v>
      </c>
      <c r="F125" s="182" t="s">
        <v>5</v>
      </c>
      <c r="G125" s="182" t="s">
        <v>6</v>
      </c>
      <c r="H125" s="209" t="s">
        <v>7</v>
      </c>
      <c r="I125" s="182" t="s">
        <v>8</v>
      </c>
      <c r="J125" s="182" t="s">
        <v>9</v>
      </c>
      <c r="K125" s="182" t="s">
        <v>10</v>
      </c>
      <c r="L125" s="182" t="s">
        <v>11</v>
      </c>
      <c r="M125" s="209" t="s">
        <v>12</v>
      </c>
      <c r="N125" s="182" t="s">
        <v>13</v>
      </c>
      <c r="O125" s="182" t="s">
        <v>14</v>
      </c>
      <c r="P125" s="182" t="s">
        <v>15</v>
      </c>
      <c r="Q125" s="182" t="s">
        <v>16</v>
      </c>
      <c r="R125" s="183" t="s">
        <v>17</v>
      </c>
      <c r="S125" s="184" t="s">
        <v>23</v>
      </c>
      <c r="T125" s="184" t="s">
        <v>24</v>
      </c>
      <c r="U125" s="185" t="s">
        <v>18</v>
      </c>
      <c r="V125" s="159"/>
      <c r="W125" s="168"/>
    </row>
    <row r="126" spans="1:66" x14ac:dyDescent="0.35">
      <c r="A126" s="154" t="s">
        <v>34</v>
      </c>
      <c r="B126" s="217">
        <v>1015</v>
      </c>
      <c r="C126" s="199">
        <v>1015</v>
      </c>
      <c r="D126" s="199">
        <v>1015</v>
      </c>
      <c r="E126" s="199">
        <v>1015</v>
      </c>
      <c r="F126" s="199">
        <v>1015</v>
      </c>
      <c r="G126" s="199">
        <v>1015</v>
      </c>
      <c r="H126" s="217">
        <v>1015</v>
      </c>
      <c r="I126" s="199">
        <v>1015</v>
      </c>
      <c r="J126" s="199">
        <v>1015</v>
      </c>
      <c r="K126" s="199">
        <v>1015</v>
      </c>
      <c r="L126" s="199">
        <v>1015</v>
      </c>
      <c r="M126" s="217">
        <v>1015</v>
      </c>
      <c r="N126" s="199">
        <v>1015</v>
      </c>
      <c r="O126" s="199">
        <v>1015</v>
      </c>
      <c r="P126" s="199">
        <v>1015</v>
      </c>
      <c r="Q126" s="199">
        <v>1015</v>
      </c>
      <c r="R126" s="199">
        <v>1015</v>
      </c>
      <c r="S126" s="199">
        <v>1015</v>
      </c>
      <c r="T126" s="199">
        <v>1015</v>
      </c>
      <c r="U126" s="200">
        <v>19280</v>
      </c>
      <c r="V126" s="159"/>
      <c r="W126" s="168"/>
    </row>
    <row r="127" spans="1:66" x14ac:dyDescent="0.35">
      <c r="A127" s="187" t="s">
        <v>20</v>
      </c>
      <c r="B127" s="218">
        <f>B126*0.17</f>
        <v>172.55</v>
      </c>
      <c r="C127" s="201">
        <f t="shared" ref="C127:U127" si="173">C126*0.17</f>
        <v>172.55</v>
      </c>
      <c r="D127" s="201">
        <f t="shared" si="173"/>
        <v>172.55</v>
      </c>
      <c r="E127" s="201">
        <f t="shared" si="173"/>
        <v>172.55</v>
      </c>
      <c r="F127" s="201">
        <f t="shared" si="173"/>
        <v>172.55</v>
      </c>
      <c r="G127" s="201">
        <f t="shared" si="173"/>
        <v>172.55</v>
      </c>
      <c r="H127" s="218">
        <f t="shared" si="173"/>
        <v>172.55</v>
      </c>
      <c r="I127" s="201">
        <f t="shared" si="173"/>
        <v>172.55</v>
      </c>
      <c r="J127" s="201">
        <f t="shared" si="173"/>
        <v>172.55</v>
      </c>
      <c r="K127" s="201">
        <f t="shared" si="173"/>
        <v>172.55</v>
      </c>
      <c r="L127" s="201">
        <f t="shared" si="173"/>
        <v>172.55</v>
      </c>
      <c r="M127" s="218">
        <f t="shared" si="173"/>
        <v>172.55</v>
      </c>
      <c r="N127" s="201">
        <f t="shared" si="173"/>
        <v>172.55</v>
      </c>
      <c r="O127" s="201">
        <f t="shared" si="173"/>
        <v>172.55</v>
      </c>
      <c r="P127" s="201">
        <f t="shared" si="173"/>
        <v>172.55</v>
      </c>
      <c r="Q127" s="201">
        <f t="shared" si="173"/>
        <v>172.55</v>
      </c>
      <c r="R127" s="201">
        <f t="shared" si="173"/>
        <v>172.55</v>
      </c>
      <c r="S127" s="201">
        <f t="shared" si="173"/>
        <v>172.55</v>
      </c>
      <c r="T127" s="201">
        <f t="shared" si="173"/>
        <v>172.55</v>
      </c>
      <c r="U127" s="202">
        <f t="shared" si="173"/>
        <v>3277.6000000000004</v>
      </c>
      <c r="V127" s="167"/>
      <c r="W127" s="168"/>
    </row>
    <row r="128" spans="1:66" s="80" customFormat="1" ht="15" thickBot="1" x14ac:dyDescent="0.4">
      <c r="A128" s="187" t="s">
        <v>21</v>
      </c>
      <c r="B128" s="218">
        <f>B126*0.4</f>
        <v>406</v>
      </c>
      <c r="C128" s="201">
        <f t="shared" ref="C128:U128" si="174">C126*0.4</f>
        <v>406</v>
      </c>
      <c r="D128" s="201">
        <f t="shared" si="174"/>
        <v>406</v>
      </c>
      <c r="E128" s="201">
        <f t="shared" si="174"/>
        <v>406</v>
      </c>
      <c r="F128" s="201">
        <f t="shared" si="174"/>
        <v>406</v>
      </c>
      <c r="G128" s="201">
        <f t="shared" si="174"/>
        <v>406</v>
      </c>
      <c r="H128" s="218">
        <f t="shared" si="174"/>
        <v>406</v>
      </c>
      <c r="I128" s="201">
        <f t="shared" si="174"/>
        <v>406</v>
      </c>
      <c r="J128" s="201">
        <f t="shared" si="174"/>
        <v>406</v>
      </c>
      <c r="K128" s="201">
        <f t="shared" si="174"/>
        <v>406</v>
      </c>
      <c r="L128" s="201">
        <f t="shared" si="174"/>
        <v>406</v>
      </c>
      <c r="M128" s="218">
        <f t="shared" si="174"/>
        <v>406</v>
      </c>
      <c r="N128" s="201">
        <f t="shared" si="174"/>
        <v>406</v>
      </c>
      <c r="O128" s="201">
        <f t="shared" si="174"/>
        <v>406</v>
      </c>
      <c r="P128" s="201">
        <f t="shared" si="174"/>
        <v>406</v>
      </c>
      <c r="Q128" s="201">
        <f t="shared" si="174"/>
        <v>406</v>
      </c>
      <c r="R128" s="201">
        <f t="shared" si="174"/>
        <v>406</v>
      </c>
      <c r="S128" s="201">
        <f t="shared" si="174"/>
        <v>406</v>
      </c>
      <c r="T128" s="201">
        <f t="shared" si="174"/>
        <v>406</v>
      </c>
      <c r="U128" s="202">
        <f t="shared" si="174"/>
        <v>7712</v>
      </c>
      <c r="V128" s="159"/>
      <c r="W128" s="168"/>
      <c r="X128" s="147"/>
      <c r="Y128" s="168"/>
      <c r="Z128" s="168"/>
      <c r="AA128" s="168"/>
      <c r="AB128" s="168"/>
      <c r="AC128" s="168"/>
      <c r="AD128" s="168"/>
      <c r="AE128" s="168"/>
      <c r="AF128" s="168"/>
      <c r="AG128" s="168"/>
      <c r="AH128" s="168"/>
      <c r="AI128" s="168"/>
      <c r="AJ128" s="151"/>
      <c r="AK128" s="168"/>
      <c r="AL128" s="168"/>
      <c r="AM128" s="168"/>
      <c r="AN128" s="151"/>
      <c r="AO128" s="168"/>
      <c r="AP128" s="168"/>
      <c r="AQ128" s="168"/>
      <c r="AR128" s="168"/>
      <c r="AS128" s="168"/>
      <c r="AT128" s="168"/>
      <c r="AU128" s="168"/>
      <c r="AV128" s="168"/>
      <c r="AW128" s="168"/>
      <c r="AX128" s="168"/>
      <c r="AY128" s="168"/>
      <c r="AZ128" s="168"/>
      <c r="BA128" s="168"/>
      <c r="BB128" s="168"/>
      <c r="BC128" s="168"/>
      <c r="BD128" s="168"/>
      <c r="BE128" s="168"/>
      <c r="BF128" s="168"/>
      <c r="BG128" s="168"/>
      <c r="BH128" s="168"/>
      <c r="BI128" s="168"/>
      <c r="BJ128" s="168"/>
      <c r="BK128" s="168"/>
      <c r="BL128" s="168"/>
      <c r="BM128" s="168"/>
      <c r="BN128" s="168"/>
    </row>
    <row r="129" spans="1:66" ht="15" thickBot="1" x14ac:dyDescent="0.4">
      <c r="A129" s="187" t="s">
        <v>26</v>
      </c>
      <c r="B129" s="218">
        <f>B126*0.22</f>
        <v>223.3</v>
      </c>
      <c r="C129" s="201">
        <f t="shared" ref="C129:U129" si="175">C126*0.22</f>
        <v>223.3</v>
      </c>
      <c r="D129" s="201">
        <f t="shared" si="175"/>
        <v>223.3</v>
      </c>
      <c r="E129" s="201">
        <f t="shared" si="175"/>
        <v>223.3</v>
      </c>
      <c r="F129" s="201">
        <f t="shared" si="175"/>
        <v>223.3</v>
      </c>
      <c r="G129" s="201">
        <f t="shared" si="175"/>
        <v>223.3</v>
      </c>
      <c r="H129" s="218">
        <f t="shared" si="175"/>
        <v>223.3</v>
      </c>
      <c r="I129" s="201">
        <f t="shared" si="175"/>
        <v>223.3</v>
      </c>
      <c r="J129" s="201">
        <f t="shared" si="175"/>
        <v>223.3</v>
      </c>
      <c r="K129" s="201">
        <f t="shared" si="175"/>
        <v>223.3</v>
      </c>
      <c r="L129" s="201">
        <f t="shared" si="175"/>
        <v>223.3</v>
      </c>
      <c r="M129" s="218">
        <f t="shared" si="175"/>
        <v>223.3</v>
      </c>
      <c r="N129" s="201">
        <f t="shared" si="175"/>
        <v>223.3</v>
      </c>
      <c r="O129" s="201">
        <f t="shared" si="175"/>
        <v>223.3</v>
      </c>
      <c r="P129" s="201">
        <f t="shared" si="175"/>
        <v>223.3</v>
      </c>
      <c r="Q129" s="201">
        <f t="shared" si="175"/>
        <v>223.3</v>
      </c>
      <c r="R129" s="201">
        <f t="shared" si="175"/>
        <v>223.3</v>
      </c>
      <c r="S129" s="201">
        <f t="shared" si="175"/>
        <v>223.3</v>
      </c>
      <c r="T129" s="201">
        <f t="shared" si="175"/>
        <v>223.3</v>
      </c>
      <c r="U129" s="202">
        <f t="shared" si="175"/>
        <v>4241.6000000000004</v>
      </c>
      <c r="V129" s="161"/>
      <c r="W129" s="168"/>
    </row>
    <row r="130" spans="1:66" s="78" customFormat="1" x14ac:dyDescent="0.35">
      <c r="A130" s="190" t="s">
        <v>22</v>
      </c>
      <c r="B130" s="218">
        <f>B126*0.21</f>
        <v>213.15</v>
      </c>
      <c r="C130" s="201">
        <f t="shared" ref="C130:U130" si="176">C126*0.21</f>
        <v>213.15</v>
      </c>
      <c r="D130" s="201">
        <f t="shared" si="176"/>
        <v>213.15</v>
      </c>
      <c r="E130" s="201">
        <f t="shared" si="176"/>
        <v>213.15</v>
      </c>
      <c r="F130" s="201">
        <f t="shared" si="176"/>
        <v>213.15</v>
      </c>
      <c r="G130" s="201">
        <f t="shared" si="176"/>
        <v>213.15</v>
      </c>
      <c r="H130" s="218">
        <f t="shared" si="176"/>
        <v>213.15</v>
      </c>
      <c r="I130" s="201">
        <f t="shared" si="176"/>
        <v>213.15</v>
      </c>
      <c r="J130" s="201">
        <f t="shared" si="176"/>
        <v>213.15</v>
      </c>
      <c r="K130" s="201">
        <f t="shared" si="176"/>
        <v>213.15</v>
      </c>
      <c r="L130" s="201">
        <f t="shared" si="176"/>
        <v>213.15</v>
      </c>
      <c r="M130" s="218">
        <f t="shared" si="176"/>
        <v>213.15</v>
      </c>
      <c r="N130" s="201">
        <f t="shared" si="176"/>
        <v>213.15</v>
      </c>
      <c r="O130" s="201">
        <f t="shared" si="176"/>
        <v>213.15</v>
      </c>
      <c r="P130" s="201">
        <f t="shared" si="176"/>
        <v>213.15</v>
      </c>
      <c r="Q130" s="201">
        <f t="shared" si="176"/>
        <v>213.15</v>
      </c>
      <c r="R130" s="201">
        <f t="shared" si="176"/>
        <v>213.15</v>
      </c>
      <c r="S130" s="201">
        <f t="shared" si="176"/>
        <v>213.15</v>
      </c>
      <c r="T130" s="201">
        <f t="shared" si="176"/>
        <v>213.15</v>
      </c>
      <c r="U130" s="202">
        <f t="shared" si="176"/>
        <v>4048.7999999999997</v>
      </c>
      <c r="V130" s="162"/>
      <c r="W130" s="168"/>
      <c r="X130" s="147"/>
      <c r="Y130" s="168"/>
      <c r="Z130" s="168"/>
      <c r="AA130" s="168"/>
      <c r="AB130" s="168"/>
      <c r="AC130" s="168"/>
      <c r="AD130" s="168"/>
      <c r="AE130" s="168"/>
      <c r="AF130" s="168"/>
      <c r="AG130" s="168"/>
      <c r="AH130" s="168"/>
      <c r="AI130" s="168"/>
      <c r="AJ130" s="151"/>
      <c r="AK130" s="168"/>
      <c r="AL130" s="168"/>
      <c r="AM130" s="168"/>
      <c r="AN130" s="151"/>
      <c r="AO130" s="168"/>
      <c r="AP130" s="168"/>
      <c r="AQ130" s="168"/>
      <c r="AR130" s="168"/>
      <c r="AS130" s="168"/>
      <c r="AT130" s="168"/>
      <c r="AU130" s="168"/>
      <c r="AV130" s="168"/>
      <c r="AW130" s="168"/>
      <c r="AX130" s="168"/>
      <c r="AY130" s="168"/>
      <c r="AZ130" s="168"/>
      <c r="BA130" s="168"/>
      <c r="BB130" s="168"/>
      <c r="BC130" s="168"/>
      <c r="BD130" s="168"/>
      <c r="BE130" s="168"/>
      <c r="BF130" s="168"/>
      <c r="BG130" s="168"/>
      <c r="BH130" s="168"/>
      <c r="BI130" s="168"/>
      <c r="BJ130" s="168"/>
      <c r="BK130" s="168"/>
      <c r="BL130" s="168"/>
      <c r="BM130" s="168"/>
      <c r="BN130" s="168"/>
    </row>
    <row r="131" spans="1:66" s="77" customFormat="1" ht="15" thickBot="1" x14ac:dyDescent="0.4">
      <c r="A131" s="179"/>
      <c r="B131" s="212"/>
      <c r="C131" s="179"/>
      <c r="D131" s="179"/>
      <c r="E131" s="179"/>
      <c r="F131" s="179"/>
      <c r="G131" s="179"/>
      <c r="H131" s="212"/>
      <c r="I131" s="179"/>
      <c r="J131" s="179"/>
      <c r="K131" s="179"/>
      <c r="L131" s="179"/>
      <c r="M131" s="212"/>
      <c r="N131" s="179"/>
      <c r="O131" s="179"/>
      <c r="P131" s="179"/>
      <c r="Q131" s="179"/>
      <c r="R131" s="179"/>
      <c r="S131" s="179"/>
      <c r="T131" s="179"/>
      <c r="U131" s="179"/>
      <c r="V131" s="163"/>
      <c r="W131" s="168"/>
      <c r="X131" s="147"/>
      <c r="Y131" s="168"/>
      <c r="Z131" s="168"/>
      <c r="AA131" s="168"/>
      <c r="AB131" s="168"/>
      <c r="AC131" s="168"/>
      <c r="AD131" s="168"/>
      <c r="AE131" s="168"/>
      <c r="AF131" s="168"/>
      <c r="AG131" s="168"/>
      <c r="AH131" s="168"/>
      <c r="AI131" s="168"/>
      <c r="AJ131" s="151"/>
      <c r="AK131" s="168"/>
      <c r="AL131" s="168"/>
      <c r="AM131" s="168"/>
      <c r="AN131" s="151"/>
      <c r="AO131" s="168"/>
      <c r="AP131" s="168"/>
      <c r="AQ131" s="168"/>
      <c r="AR131" s="168"/>
      <c r="AS131" s="168"/>
      <c r="AT131" s="168"/>
      <c r="AU131" s="168"/>
      <c r="AV131" s="168"/>
      <c r="AW131" s="168"/>
      <c r="AX131" s="168"/>
      <c r="AY131" s="168"/>
      <c r="AZ131" s="168"/>
      <c r="BA131" s="168"/>
      <c r="BB131" s="168"/>
      <c r="BC131" s="168"/>
      <c r="BD131" s="168"/>
      <c r="BE131" s="168"/>
      <c r="BF131" s="168"/>
      <c r="BG131" s="168"/>
      <c r="BH131" s="168"/>
      <c r="BI131" s="168"/>
      <c r="BJ131" s="168"/>
      <c r="BK131" s="168"/>
      <c r="BL131" s="168"/>
      <c r="BM131" s="168"/>
      <c r="BN131" s="168"/>
    </row>
    <row r="132" spans="1:66" s="77" customFormat="1" x14ac:dyDescent="0.35">
      <c r="A132" s="191" t="s">
        <v>55</v>
      </c>
      <c r="B132" s="213"/>
      <c r="C132" s="192"/>
      <c r="D132" s="192"/>
      <c r="E132" s="192"/>
      <c r="F132" s="192"/>
      <c r="G132" s="192"/>
      <c r="H132" s="213"/>
      <c r="I132" s="192"/>
      <c r="J132" s="192"/>
      <c r="K132" s="192"/>
      <c r="L132" s="192"/>
      <c r="M132" s="213"/>
      <c r="N132" s="192"/>
      <c r="O132" s="192"/>
      <c r="P132" s="192"/>
      <c r="Q132" s="192"/>
      <c r="R132" s="192"/>
      <c r="S132" s="192"/>
      <c r="T132" s="192"/>
      <c r="U132" s="192"/>
      <c r="V132" s="162"/>
      <c r="W132" s="168"/>
      <c r="X132" s="147"/>
      <c r="Y132" s="168"/>
      <c r="Z132" s="168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51"/>
      <c r="AK132" s="168"/>
      <c r="AL132" s="168"/>
      <c r="AM132" s="168"/>
      <c r="AN132" s="151"/>
      <c r="AO132" s="168"/>
      <c r="AP132" s="168"/>
      <c r="AQ132" s="168"/>
      <c r="AR132" s="168"/>
      <c r="AS132" s="168"/>
      <c r="AT132" s="168"/>
      <c r="AU132" s="168"/>
      <c r="AV132" s="168"/>
      <c r="AW132" s="168"/>
      <c r="AX132" s="168"/>
      <c r="AY132" s="168"/>
      <c r="AZ132" s="168"/>
      <c r="BA132" s="168"/>
      <c r="BB132" s="168"/>
      <c r="BC132" s="168"/>
      <c r="BD132" s="168"/>
      <c r="BE132" s="168"/>
      <c r="BF132" s="168"/>
      <c r="BG132" s="168"/>
      <c r="BH132" s="168"/>
      <c r="BI132" s="168"/>
      <c r="BJ132" s="168"/>
      <c r="BK132" s="168"/>
      <c r="BL132" s="168"/>
      <c r="BM132" s="168"/>
      <c r="BN132" s="168"/>
    </row>
    <row r="133" spans="1:66" s="77" customFormat="1" ht="15" thickBot="1" x14ac:dyDescent="0.4">
      <c r="A133" s="193" t="s">
        <v>112</v>
      </c>
      <c r="B133" s="214">
        <f>(30*(B127*$AH$17)+(B128*$AH$18)+(B129*$AH$19)+(B130*$AH$20))+'reference data- 2'!B130</f>
        <v>8397668.3677662555</v>
      </c>
      <c r="C133" s="214">
        <f>(30*(C127*$AH$17)+(C128*$AH$18)+(C129*$AH$19)+(C130*$AH$20))+'reference data- 2'!C130</f>
        <v>8397668.3677662555</v>
      </c>
      <c r="D133" s="214">
        <f>(30*(D127*$AH$17)+(D128*$AH$18)+(D129*$AH$19)+(D130*$AH$20))+'reference data- 2'!D130</f>
        <v>8397668.3677662555</v>
      </c>
      <c r="E133" s="214">
        <f>(30*(E127*$AH$17)+(E128*$AH$18)+(E129*$AH$19)+(E130*$AH$20))+'reference data- 2'!E130</f>
        <v>8397668.3677662555</v>
      </c>
      <c r="F133" s="214">
        <f>(30*(F127*$AH$17)+(F128*$AH$18)+(F129*$AH$19)+(F130*$AH$20))+'reference data- 2'!F130</f>
        <v>8397668.3677662555</v>
      </c>
      <c r="G133" s="214">
        <f>(30*(G127*$AH$17)+(G128*$AH$18)+(G129*$AH$19)+(G130*$AH$20))+'reference data- 2'!G130</f>
        <v>8397668.3677662555</v>
      </c>
      <c r="H133" s="214">
        <f>(30*(H127*$AL$17)+(H128*$AL$18)+(H129*$AL$19)+(H130*$AL$20))+'reference data- 2'!H130</f>
        <v>8113132.1771628745</v>
      </c>
      <c r="I133" s="214">
        <f>(30*(I127*$AL$17)+(I128*$AL$18)+(I129*$AL$19)+(I130*$AL$20))+'reference data- 2'!I130</f>
        <v>8113132.1771628745</v>
      </c>
      <c r="J133" s="214">
        <f>(30*(J127*$AL$17)+(J128*$AL$18)+(J129*$AL$19)+(J130*$AL$20))+'reference data- 2'!J130</f>
        <v>8113132.1771628745</v>
      </c>
      <c r="K133" s="214">
        <f>(30*(K127*$AL$17)+(K128*$AL$18)+(K129*$AL$19)+(K130*$AL$20))+'reference data- 2'!K130</f>
        <v>8113132.1771628745</v>
      </c>
      <c r="L133" s="214">
        <f>(30*(L127*$AL$17)+(L128*$AL$18)+(L129*$AL$19)+(L130*$AL$20))+'reference data- 2'!L130</f>
        <v>8113132.1771628745</v>
      </c>
      <c r="M133" s="214">
        <f>(30*(M127*$AP$17)+(M128*$AP$18)+(M129*$AP$19)+(M130*$AP$20))+'reference data- 2'!M130</f>
        <v>7207789.7525157556</v>
      </c>
      <c r="N133" s="214">
        <f>(30*(N127*$AP$17)+(N128*$AP$18)+(N129*$AP$19)+(N130*$AP$20))+'reference data- 2'!N130</f>
        <v>7207789.7525157556</v>
      </c>
      <c r="O133" s="214">
        <f>(30*(O127*$AP$17)+(O128*$AP$18)+(O129*$AP$19)+(O130*$AP$20))+'reference data- 2'!O130</f>
        <v>7207789.7525157556</v>
      </c>
      <c r="P133" s="214">
        <f>(30*(P127*$AP$17)+(P128*$AP$18)+(P129*$AP$19)+(P130*$AP$20))+'reference data- 2'!P130</f>
        <v>7207789.7525157556</v>
      </c>
      <c r="Q133" s="214">
        <f>(30*(Q127*$AP$17)+(Q128*$AP$18)+(Q129*$AP$19)+(Q130*$AP$20))+'reference data- 2'!Q130</f>
        <v>7207789.7525157556</v>
      </c>
      <c r="R133" s="214">
        <f>(30*(R127*$AP$17)+(R128*$AP$18)+(R129*$AP$19)+(R130*$AP$20))+'reference data- 2'!R130</f>
        <v>7207789.7525157556</v>
      </c>
      <c r="S133" s="214">
        <f>(30*(S127*$AP$17)+(S128*$AP$18)+(S129*$AP$19)+(S130*$AP$20))+'reference data- 2'!S130</f>
        <v>7207789.7525157556</v>
      </c>
      <c r="T133" s="214">
        <f>(30*(T127*$AP$17)+(T128*$AP$18)+(T129*$AP$19)+(T130*$AP$20))+'reference data- 2'!T130</f>
        <v>7207789.7525157556</v>
      </c>
      <c r="U133" s="194">
        <f>SUM(B133:T133)</f>
        <v>148613989.11253798</v>
      </c>
      <c r="V133" s="164"/>
      <c r="W133" s="168"/>
      <c r="X133" s="147"/>
      <c r="Y133" s="168"/>
      <c r="Z133" s="168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51"/>
      <c r="AK133" s="168"/>
      <c r="AL133" s="168"/>
      <c r="AM133" s="168"/>
      <c r="AN133" s="151"/>
      <c r="AO133" s="168"/>
      <c r="AP133" s="168"/>
      <c r="AQ133" s="168"/>
      <c r="AR133" s="168"/>
      <c r="AS133" s="168"/>
      <c r="AT133" s="168"/>
      <c r="AU133" s="168"/>
      <c r="AV133" s="168"/>
      <c r="AW133" s="168"/>
      <c r="AX133" s="168"/>
      <c r="AY133" s="168"/>
      <c r="AZ133" s="168"/>
      <c r="BA133" s="168"/>
      <c r="BB133" s="168"/>
      <c r="BC133" s="168"/>
      <c r="BD133" s="168"/>
      <c r="BE133" s="168"/>
      <c r="BF133" s="168"/>
      <c r="BG133" s="168"/>
      <c r="BH133" s="168"/>
      <c r="BI133" s="168"/>
      <c r="BJ133" s="168"/>
      <c r="BK133" s="168"/>
      <c r="BL133" s="168"/>
      <c r="BM133" s="168"/>
      <c r="BN133" s="168"/>
    </row>
    <row r="134" spans="1:66" s="155" customFormat="1" ht="15" thickBot="1" x14ac:dyDescent="0.4">
      <c r="A134" s="193" t="s">
        <v>113</v>
      </c>
      <c r="B134" s="214">
        <f>B133/1000</f>
        <v>8397.668367766255</v>
      </c>
      <c r="C134" s="214">
        <f t="shared" ref="C134" si="177">C133/1000</f>
        <v>8397.668367766255</v>
      </c>
      <c r="D134" s="214">
        <f t="shared" ref="D134" si="178">D133/1000</f>
        <v>8397.668367766255</v>
      </c>
      <c r="E134" s="214">
        <f t="shared" ref="E134" si="179">E133/1000</f>
        <v>8397.668367766255</v>
      </c>
      <c r="F134" s="214">
        <f t="shared" ref="F134" si="180">F133/1000</f>
        <v>8397.668367766255</v>
      </c>
      <c r="G134" s="214">
        <f t="shared" ref="G134" si="181">G133/1000</f>
        <v>8397.668367766255</v>
      </c>
      <c r="H134" s="214">
        <f t="shared" ref="H134" si="182">H133/1000</f>
        <v>8113.1321771628745</v>
      </c>
      <c r="I134" s="214">
        <f t="shared" ref="I134" si="183">I133/1000</f>
        <v>8113.1321771628745</v>
      </c>
      <c r="J134" s="214">
        <f t="shared" ref="J134" si="184">J133/1000</f>
        <v>8113.1321771628745</v>
      </c>
      <c r="K134" s="214">
        <f t="shared" ref="K134" si="185">K133/1000</f>
        <v>8113.1321771628745</v>
      </c>
      <c r="L134" s="214">
        <f t="shared" ref="L134" si="186">L133/1000</f>
        <v>8113.1321771628745</v>
      </c>
      <c r="M134" s="214">
        <f t="shared" ref="M134" si="187">M133/1000</f>
        <v>7207.7897525157559</v>
      </c>
      <c r="N134" s="214">
        <f t="shared" ref="N134" si="188">N133/1000</f>
        <v>7207.7897525157559</v>
      </c>
      <c r="O134" s="214">
        <f t="shared" ref="O134" si="189">O133/1000</f>
        <v>7207.7897525157559</v>
      </c>
      <c r="P134" s="214">
        <f t="shared" ref="P134" si="190">P133/1000</f>
        <v>7207.7897525157559</v>
      </c>
      <c r="Q134" s="214">
        <f t="shared" ref="Q134" si="191">Q133/1000</f>
        <v>7207.7897525157559</v>
      </c>
      <c r="R134" s="214">
        <f t="shared" ref="R134" si="192">R133/1000</f>
        <v>7207.7897525157559</v>
      </c>
      <c r="S134" s="214">
        <f t="shared" ref="S134" si="193">S133/1000</f>
        <v>7207.7897525157559</v>
      </c>
      <c r="T134" s="214">
        <f t="shared" ref="T134" si="194">T133/1000</f>
        <v>7207.7897525157559</v>
      </c>
      <c r="U134" s="214">
        <f t="shared" ref="U134" si="195">U133/1000</f>
        <v>148613.98911253799</v>
      </c>
      <c r="V134" s="164"/>
      <c r="W134" s="168"/>
      <c r="X134" s="147"/>
      <c r="Y134" s="168"/>
      <c r="Z134" s="168"/>
      <c r="AA134" s="168"/>
      <c r="AB134" s="168"/>
      <c r="AC134" s="168"/>
      <c r="AD134" s="168"/>
      <c r="AE134" s="168"/>
      <c r="AF134" s="168"/>
      <c r="AG134" s="168"/>
      <c r="AH134" s="168"/>
      <c r="AI134" s="168"/>
      <c r="AJ134" s="151"/>
      <c r="AK134" s="168"/>
      <c r="AL134" s="168"/>
      <c r="AM134" s="168"/>
      <c r="AN134" s="151"/>
      <c r="AO134" s="168"/>
      <c r="AP134" s="168"/>
      <c r="AQ134" s="168"/>
      <c r="AR134" s="168"/>
      <c r="AS134" s="168"/>
      <c r="AT134" s="168"/>
      <c r="AU134" s="168"/>
      <c r="AV134" s="168"/>
      <c r="AW134" s="168"/>
      <c r="AX134" s="168"/>
      <c r="AY134" s="168"/>
      <c r="AZ134" s="168"/>
      <c r="BA134" s="168"/>
      <c r="BB134" s="168"/>
      <c r="BC134" s="168"/>
      <c r="BD134" s="168"/>
      <c r="BE134" s="168"/>
      <c r="BF134" s="168"/>
      <c r="BG134" s="168"/>
      <c r="BH134" s="168"/>
      <c r="BI134" s="168"/>
      <c r="BJ134" s="168"/>
      <c r="BK134" s="168"/>
      <c r="BL134" s="168"/>
      <c r="BM134" s="168"/>
      <c r="BN134" s="168"/>
    </row>
    <row r="135" spans="1:66" s="79" customFormat="1" ht="15" thickBot="1" x14ac:dyDescent="0.4">
      <c r="A135" s="193" t="s">
        <v>64</v>
      </c>
      <c r="B135" s="215">
        <f>B134*144</f>
        <v>1209264.2449583407</v>
      </c>
      <c r="C135" s="215">
        <f t="shared" ref="C135:U135" si="196">C134*144</f>
        <v>1209264.2449583407</v>
      </c>
      <c r="D135" s="215">
        <f t="shared" si="196"/>
        <v>1209264.2449583407</v>
      </c>
      <c r="E135" s="215">
        <f t="shared" si="196"/>
        <v>1209264.2449583407</v>
      </c>
      <c r="F135" s="215">
        <f t="shared" si="196"/>
        <v>1209264.2449583407</v>
      </c>
      <c r="G135" s="215">
        <f t="shared" si="196"/>
        <v>1209264.2449583407</v>
      </c>
      <c r="H135" s="215">
        <f t="shared" si="196"/>
        <v>1168291.033511454</v>
      </c>
      <c r="I135" s="215">
        <f t="shared" si="196"/>
        <v>1168291.033511454</v>
      </c>
      <c r="J135" s="215">
        <f t="shared" si="196"/>
        <v>1168291.033511454</v>
      </c>
      <c r="K135" s="215">
        <f t="shared" si="196"/>
        <v>1168291.033511454</v>
      </c>
      <c r="L135" s="215">
        <f t="shared" si="196"/>
        <v>1168291.033511454</v>
      </c>
      <c r="M135" s="215">
        <f t="shared" si="196"/>
        <v>1037921.7243622688</v>
      </c>
      <c r="N135" s="215">
        <f t="shared" si="196"/>
        <v>1037921.7243622688</v>
      </c>
      <c r="O135" s="215">
        <f t="shared" si="196"/>
        <v>1037921.7243622688</v>
      </c>
      <c r="P135" s="215">
        <f t="shared" si="196"/>
        <v>1037921.7243622688</v>
      </c>
      <c r="Q135" s="215">
        <f t="shared" si="196"/>
        <v>1037921.7243622688</v>
      </c>
      <c r="R135" s="215">
        <f t="shared" si="196"/>
        <v>1037921.7243622688</v>
      </c>
      <c r="S135" s="215">
        <f t="shared" si="196"/>
        <v>1037921.7243622688</v>
      </c>
      <c r="T135" s="215">
        <f t="shared" si="196"/>
        <v>1037921.7243622688</v>
      </c>
      <c r="U135" s="215">
        <f t="shared" si="196"/>
        <v>21400414.432205472</v>
      </c>
      <c r="V135" s="159"/>
      <c r="W135" s="168"/>
      <c r="X135" s="147"/>
      <c r="Y135" s="168"/>
      <c r="Z135" s="168"/>
      <c r="AA135" s="168"/>
      <c r="AB135" s="168"/>
      <c r="AC135" s="168"/>
      <c r="AD135" s="168"/>
      <c r="AE135" s="168"/>
      <c r="AF135" s="168"/>
      <c r="AG135" s="168"/>
      <c r="AH135" s="168"/>
      <c r="AI135" s="168"/>
      <c r="AJ135" s="151"/>
      <c r="AK135" s="168"/>
      <c r="AL135" s="168"/>
      <c r="AM135" s="168"/>
      <c r="AN135" s="151"/>
      <c r="AO135" s="168"/>
      <c r="AP135" s="168"/>
      <c r="AQ135" s="168"/>
      <c r="AR135" s="168"/>
      <c r="AS135" s="168"/>
      <c r="AT135" s="168"/>
      <c r="AU135" s="168"/>
      <c r="AV135" s="168"/>
      <c r="AW135" s="168"/>
      <c r="AX135" s="168"/>
      <c r="AY135" s="168"/>
      <c r="AZ135" s="168"/>
      <c r="BA135" s="168"/>
      <c r="BB135" s="168"/>
      <c r="BC135" s="168"/>
      <c r="BD135" s="168"/>
      <c r="BE135" s="168"/>
      <c r="BF135" s="168"/>
      <c r="BG135" s="168"/>
      <c r="BH135" s="168"/>
      <c r="BI135" s="168"/>
      <c r="BJ135" s="168"/>
      <c r="BK135" s="168"/>
      <c r="BL135" s="168"/>
      <c r="BM135" s="168"/>
      <c r="BN135" s="168"/>
    </row>
    <row r="136" spans="1:66" x14ac:dyDescent="0.35">
      <c r="A136" s="193"/>
      <c r="B136" s="213"/>
      <c r="C136" s="196"/>
      <c r="D136" s="194"/>
      <c r="E136" s="194"/>
      <c r="F136" s="194"/>
      <c r="G136" s="194"/>
      <c r="H136" s="214"/>
      <c r="I136" s="194"/>
      <c r="J136" s="194"/>
      <c r="K136" s="194"/>
      <c r="L136" s="194"/>
      <c r="M136" s="214"/>
      <c r="N136" s="194"/>
      <c r="O136" s="194"/>
      <c r="P136" s="194"/>
      <c r="Q136" s="194"/>
      <c r="R136" s="194"/>
      <c r="S136" s="194"/>
      <c r="T136" s="194"/>
      <c r="U136" s="194"/>
      <c r="V136" s="159"/>
      <c r="W136" s="168"/>
    </row>
    <row r="137" spans="1:66" ht="15" thickBot="1" x14ac:dyDescent="0.4">
      <c r="A137" s="197"/>
      <c r="B137" s="216"/>
      <c r="C137" s="198"/>
      <c r="D137" s="198"/>
      <c r="E137" s="198"/>
      <c r="F137" s="198"/>
      <c r="G137" s="198"/>
      <c r="H137" s="216"/>
      <c r="I137" s="198"/>
      <c r="J137" s="198"/>
      <c r="K137" s="198"/>
      <c r="L137" s="198"/>
      <c r="M137" s="216"/>
      <c r="N137" s="198"/>
      <c r="O137" s="198"/>
      <c r="P137" s="198"/>
      <c r="Q137" s="198"/>
      <c r="R137" s="198"/>
      <c r="S137" s="198"/>
      <c r="T137" s="198"/>
      <c r="U137" s="198"/>
      <c r="V137" s="159"/>
      <c r="W137" s="168"/>
    </row>
    <row r="138" spans="1:66" x14ac:dyDescent="0.35">
      <c r="A138" s="179"/>
      <c r="B138" s="212"/>
      <c r="C138" s="179"/>
      <c r="D138" s="179"/>
      <c r="E138" s="179"/>
      <c r="F138" s="179"/>
      <c r="G138" s="179"/>
      <c r="H138" s="212"/>
      <c r="I138" s="179"/>
      <c r="J138" s="179"/>
      <c r="K138" s="179"/>
      <c r="L138" s="179"/>
      <c r="M138" s="212"/>
      <c r="N138" s="179"/>
      <c r="O138" s="179"/>
      <c r="P138" s="179"/>
      <c r="Q138" s="179"/>
      <c r="R138" s="179"/>
      <c r="S138" s="179"/>
      <c r="T138" s="179"/>
      <c r="U138" s="179"/>
      <c r="V138" s="160"/>
      <c r="W138" s="168"/>
    </row>
    <row r="139" spans="1:66" x14ac:dyDescent="0.35">
      <c r="A139" s="179"/>
      <c r="B139" s="212"/>
      <c r="C139" s="179"/>
      <c r="D139" s="179"/>
      <c r="E139" s="179"/>
      <c r="F139" s="179"/>
      <c r="G139" s="179"/>
      <c r="H139" s="212"/>
      <c r="I139" s="179"/>
      <c r="J139" s="179"/>
      <c r="K139" s="179"/>
      <c r="L139" s="179"/>
      <c r="M139" s="212"/>
      <c r="N139" s="179"/>
      <c r="O139" s="179"/>
      <c r="P139" s="179"/>
      <c r="Q139" s="179"/>
      <c r="R139" s="179"/>
      <c r="S139" s="179"/>
      <c r="T139" s="179"/>
      <c r="U139" s="179"/>
      <c r="V139" s="159"/>
      <c r="W139" s="168"/>
    </row>
    <row r="140" spans="1:66" x14ac:dyDescent="0.35">
      <c r="A140" s="180" t="s">
        <v>0</v>
      </c>
      <c r="B140" s="209" t="s">
        <v>1</v>
      </c>
      <c r="C140" s="181" t="s">
        <v>2</v>
      </c>
      <c r="D140" s="182" t="s">
        <v>3</v>
      </c>
      <c r="E140" s="182" t="s">
        <v>4</v>
      </c>
      <c r="F140" s="182" t="s">
        <v>5</v>
      </c>
      <c r="G140" s="182" t="s">
        <v>6</v>
      </c>
      <c r="H140" s="209" t="s">
        <v>7</v>
      </c>
      <c r="I140" s="182" t="s">
        <v>8</v>
      </c>
      <c r="J140" s="182" t="s">
        <v>9</v>
      </c>
      <c r="K140" s="182" t="s">
        <v>10</v>
      </c>
      <c r="L140" s="182" t="s">
        <v>11</v>
      </c>
      <c r="M140" s="209" t="s">
        <v>12</v>
      </c>
      <c r="N140" s="182" t="s">
        <v>13</v>
      </c>
      <c r="O140" s="182" t="s">
        <v>14</v>
      </c>
      <c r="P140" s="182" t="s">
        <v>15</v>
      </c>
      <c r="Q140" s="182" t="s">
        <v>16</v>
      </c>
      <c r="R140" s="183" t="s">
        <v>17</v>
      </c>
      <c r="S140" s="184" t="s">
        <v>23</v>
      </c>
      <c r="T140" s="184" t="s">
        <v>24</v>
      </c>
      <c r="U140" s="185" t="s">
        <v>18</v>
      </c>
      <c r="V140" s="159"/>
      <c r="W140" s="168"/>
    </row>
    <row r="141" spans="1:66" x14ac:dyDescent="0.35">
      <c r="A141" s="154" t="s">
        <v>54</v>
      </c>
      <c r="B141" s="217">
        <v>1126</v>
      </c>
      <c r="C141" s="199">
        <v>1126</v>
      </c>
      <c r="D141" s="199">
        <v>1126</v>
      </c>
      <c r="E141" s="199">
        <v>1126</v>
      </c>
      <c r="F141" s="199">
        <v>1126</v>
      </c>
      <c r="G141" s="199">
        <v>1126</v>
      </c>
      <c r="H141" s="217">
        <v>1126</v>
      </c>
      <c r="I141" s="199">
        <v>1126</v>
      </c>
      <c r="J141" s="199">
        <v>1126</v>
      </c>
      <c r="K141" s="199">
        <v>1126</v>
      </c>
      <c r="L141" s="199">
        <v>1126</v>
      </c>
      <c r="M141" s="217">
        <v>1126</v>
      </c>
      <c r="N141" s="199">
        <v>1126</v>
      </c>
      <c r="O141" s="199">
        <v>1126</v>
      </c>
      <c r="P141" s="199">
        <v>1126</v>
      </c>
      <c r="Q141" s="199">
        <v>1126</v>
      </c>
      <c r="R141" s="199">
        <v>1126</v>
      </c>
      <c r="S141" s="199">
        <v>1126</v>
      </c>
      <c r="T141" s="199">
        <v>1126</v>
      </c>
      <c r="U141" s="200">
        <v>21400</v>
      </c>
      <c r="V141" s="159"/>
      <c r="W141" s="168"/>
    </row>
    <row r="142" spans="1:66" x14ac:dyDescent="0.35">
      <c r="A142" s="187" t="s">
        <v>20</v>
      </c>
      <c r="B142" s="218">
        <f>B141*0.26</f>
        <v>292.76</v>
      </c>
      <c r="C142" s="201">
        <f t="shared" ref="C142:K142" si="197">C141*0.26</f>
        <v>292.76</v>
      </c>
      <c r="D142" s="201">
        <f t="shared" si="197"/>
        <v>292.76</v>
      </c>
      <c r="E142" s="201">
        <f t="shared" si="197"/>
        <v>292.76</v>
      </c>
      <c r="F142" s="201">
        <f t="shared" si="197"/>
        <v>292.76</v>
      </c>
      <c r="G142" s="201">
        <f t="shared" si="197"/>
        <v>292.76</v>
      </c>
      <c r="H142" s="218">
        <f t="shared" si="197"/>
        <v>292.76</v>
      </c>
      <c r="I142" s="201">
        <f t="shared" si="197"/>
        <v>292.76</v>
      </c>
      <c r="J142" s="201">
        <f t="shared" si="197"/>
        <v>292.76</v>
      </c>
      <c r="K142" s="201">
        <f t="shared" si="197"/>
        <v>292.76</v>
      </c>
      <c r="L142" s="201">
        <f>L141*0.26</f>
        <v>292.76</v>
      </c>
      <c r="M142" s="218">
        <f t="shared" ref="M142:U142" si="198">M141*0.26</f>
        <v>292.76</v>
      </c>
      <c r="N142" s="201">
        <f t="shared" si="198"/>
        <v>292.76</v>
      </c>
      <c r="O142" s="201">
        <f t="shared" si="198"/>
        <v>292.76</v>
      </c>
      <c r="P142" s="201">
        <f t="shared" si="198"/>
        <v>292.76</v>
      </c>
      <c r="Q142" s="201">
        <f t="shared" si="198"/>
        <v>292.76</v>
      </c>
      <c r="R142" s="201">
        <f t="shared" si="198"/>
        <v>292.76</v>
      </c>
      <c r="S142" s="201">
        <f t="shared" si="198"/>
        <v>292.76</v>
      </c>
      <c r="T142" s="201">
        <f t="shared" si="198"/>
        <v>292.76</v>
      </c>
      <c r="U142" s="202">
        <f t="shared" si="198"/>
        <v>5564</v>
      </c>
      <c r="V142" s="167"/>
      <c r="W142" s="168"/>
    </row>
    <row r="143" spans="1:66" s="80" customFormat="1" ht="15" thickBot="1" x14ac:dyDescent="0.4">
      <c r="A143" s="187" t="s">
        <v>21</v>
      </c>
      <c r="B143" s="218">
        <f>B141*0.36</f>
        <v>405.35999999999996</v>
      </c>
      <c r="C143" s="201">
        <f t="shared" ref="C143:U143" si="199">C141*0.36</f>
        <v>405.35999999999996</v>
      </c>
      <c r="D143" s="201">
        <f t="shared" si="199"/>
        <v>405.35999999999996</v>
      </c>
      <c r="E143" s="201">
        <f t="shared" si="199"/>
        <v>405.35999999999996</v>
      </c>
      <c r="F143" s="201">
        <f t="shared" si="199"/>
        <v>405.35999999999996</v>
      </c>
      <c r="G143" s="201">
        <f t="shared" si="199"/>
        <v>405.35999999999996</v>
      </c>
      <c r="H143" s="218">
        <f t="shared" si="199"/>
        <v>405.35999999999996</v>
      </c>
      <c r="I143" s="201">
        <f t="shared" si="199"/>
        <v>405.35999999999996</v>
      </c>
      <c r="J143" s="201">
        <f t="shared" si="199"/>
        <v>405.35999999999996</v>
      </c>
      <c r="K143" s="201">
        <f t="shared" si="199"/>
        <v>405.35999999999996</v>
      </c>
      <c r="L143" s="201">
        <f t="shared" si="199"/>
        <v>405.35999999999996</v>
      </c>
      <c r="M143" s="218">
        <f t="shared" si="199"/>
        <v>405.35999999999996</v>
      </c>
      <c r="N143" s="201">
        <f t="shared" si="199"/>
        <v>405.35999999999996</v>
      </c>
      <c r="O143" s="201">
        <f t="shared" si="199"/>
        <v>405.35999999999996</v>
      </c>
      <c r="P143" s="201">
        <f t="shared" si="199"/>
        <v>405.35999999999996</v>
      </c>
      <c r="Q143" s="201">
        <f t="shared" si="199"/>
        <v>405.35999999999996</v>
      </c>
      <c r="R143" s="201">
        <f t="shared" si="199"/>
        <v>405.35999999999996</v>
      </c>
      <c r="S143" s="201">
        <f t="shared" si="199"/>
        <v>405.35999999999996</v>
      </c>
      <c r="T143" s="201">
        <f t="shared" si="199"/>
        <v>405.35999999999996</v>
      </c>
      <c r="U143" s="202">
        <f t="shared" si="199"/>
        <v>7704</v>
      </c>
      <c r="V143" s="159"/>
      <c r="W143" s="168"/>
      <c r="X143" s="147"/>
      <c r="Y143" s="168"/>
      <c r="Z143" s="168"/>
      <c r="AA143" s="168"/>
      <c r="AB143" s="168"/>
      <c r="AC143" s="168"/>
      <c r="AD143" s="168"/>
      <c r="AE143" s="168"/>
      <c r="AF143" s="168"/>
      <c r="AG143" s="168"/>
      <c r="AH143" s="168"/>
      <c r="AI143" s="168"/>
      <c r="AJ143" s="151"/>
      <c r="AK143" s="168"/>
      <c r="AL143" s="168"/>
      <c r="AM143" s="168"/>
      <c r="AN143" s="151"/>
      <c r="AO143" s="168"/>
      <c r="AP143" s="168"/>
      <c r="AQ143" s="168"/>
      <c r="AR143" s="168"/>
      <c r="AS143" s="168"/>
      <c r="AT143" s="168"/>
      <c r="AU143" s="168"/>
      <c r="AV143" s="168"/>
      <c r="AW143" s="168"/>
      <c r="AX143" s="168"/>
      <c r="AY143" s="168"/>
      <c r="AZ143" s="168"/>
      <c r="BA143" s="168"/>
      <c r="BB143" s="168"/>
      <c r="BC143" s="168"/>
      <c r="BD143" s="168"/>
      <c r="BE143" s="168"/>
      <c r="BF143" s="168"/>
      <c r="BG143" s="168"/>
      <c r="BH143" s="168"/>
      <c r="BI143" s="168"/>
      <c r="BJ143" s="168"/>
      <c r="BK143" s="168"/>
      <c r="BL143" s="168"/>
      <c r="BM143" s="168"/>
      <c r="BN143" s="168"/>
    </row>
    <row r="144" spans="1:66" ht="15" thickBot="1" x14ac:dyDescent="0.4">
      <c r="A144" s="187" t="s">
        <v>26</v>
      </c>
      <c r="B144" s="218">
        <f>B141*0.29</f>
        <v>326.53999999999996</v>
      </c>
      <c r="C144" s="201">
        <f t="shared" ref="C144:U144" si="200">C141*0.29</f>
        <v>326.53999999999996</v>
      </c>
      <c r="D144" s="201">
        <f t="shared" si="200"/>
        <v>326.53999999999996</v>
      </c>
      <c r="E144" s="201">
        <f t="shared" si="200"/>
        <v>326.53999999999996</v>
      </c>
      <c r="F144" s="201">
        <f t="shared" si="200"/>
        <v>326.53999999999996</v>
      </c>
      <c r="G144" s="201">
        <f t="shared" si="200"/>
        <v>326.53999999999996</v>
      </c>
      <c r="H144" s="218">
        <f t="shared" si="200"/>
        <v>326.53999999999996</v>
      </c>
      <c r="I144" s="201">
        <f t="shared" si="200"/>
        <v>326.53999999999996</v>
      </c>
      <c r="J144" s="201">
        <f t="shared" si="200"/>
        <v>326.53999999999996</v>
      </c>
      <c r="K144" s="201">
        <f t="shared" si="200"/>
        <v>326.53999999999996</v>
      </c>
      <c r="L144" s="201">
        <f t="shared" si="200"/>
        <v>326.53999999999996</v>
      </c>
      <c r="M144" s="218">
        <f t="shared" si="200"/>
        <v>326.53999999999996</v>
      </c>
      <c r="N144" s="201">
        <f t="shared" si="200"/>
        <v>326.53999999999996</v>
      </c>
      <c r="O144" s="201">
        <f t="shared" si="200"/>
        <v>326.53999999999996</v>
      </c>
      <c r="P144" s="201">
        <f t="shared" si="200"/>
        <v>326.53999999999996</v>
      </c>
      <c r="Q144" s="201">
        <f t="shared" si="200"/>
        <v>326.53999999999996</v>
      </c>
      <c r="R144" s="201">
        <f t="shared" si="200"/>
        <v>326.53999999999996</v>
      </c>
      <c r="S144" s="201">
        <f t="shared" si="200"/>
        <v>326.53999999999996</v>
      </c>
      <c r="T144" s="201">
        <f t="shared" si="200"/>
        <v>326.53999999999996</v>
      </c>
      <c r="U144" s="202">
        <f t="shared" si="200"/>
        <v>6206</v>
      </c>
      <c r="V144" s="161"/>
      <c r="W144" s="168"/>
    </row>
    <row r="145" spans="1:66" s="78" customFormat="1" x14ac:dyDescent="0.35">
      <c r="A145" s="190" t="s">
        <v>22</v>
      </c>
      <c r="B145" s="218">
        <f>B141*0.1</f>
        <v>112.60000000000001</v>
      </c>
      <c r="C145" s="201">
        <f t="shared" ref="C145:U145" si="201">C141*0.1</f>
        <v>112.60000000000001</v>
      </c>
      <c r="D145" s="201">
        <f t="shared" si="201"/>
        <v>112.60000000000001</v>
      </c>
      <c r="E145" s="201">
        <f t="shared" si="201"/>
        <v>112.60000000000001</v>
      </c>
      <c r="F145" s="201">
        <f t="shared" si="201"/>
        <v>112.60000000000001</v>
      </c>
      <c r="G145" s="201">
        <f t="shared" si="201"/>
        <v>112.60000000000001</v>
      </c>
      <c r="H145" s="218">
        <f t="shared" si="201"/>
        <v>112.60000000000001</v>
      </c>
      <c r="I145" s="201">
        <f t="shared" si="201"/>
        <v>112.60000000000001</v>
      </c>
      <c r="J145" s="201">
        <f t="shared" si="201"/>
        <v>112.60000000000001</v>
      </c>
      <c r="K145" s="201">
        <f t="shared" si="201"/>
        <v>112.60000000000001</v>
      </c>
      <c r="L145" s="201">
        <f t="shared" si="201"/>
        <v>112.60000000000001</v>
      </c>
      <c r="M145" s="218">
        <f t="shared" si="201"/>
        <v>112.60000000000001</v>
      </c>
      <c r="N145" s="201">
        <f t="shared" si="201"/>
        <v>112.60000000000001</v>
      </c>
      <c r="O145" s="201">
        <f t="shared" si="201"/>
        <v>112.60000000000001</v>
      </c>
      <c r="P145" s="201">
        <f t="shared" si="201"/>
        <v>112.60000000000001</v>
      </c>
      <c r="Q145" s="201">
        <f t="shared" si="201"/>
        <v>112.60000000000001</v>
      </c>
      <c r="R145" s="201">
        <f t="shared" si="201"/>
        <v>112.60000000000001</v>
      </c>
      <c r="S145" s="201">
        <f t="shared" si="201"/>
        <v>112.60000000000001</v>
      </c>
      <c r="T145" s="201">
        <f t="shared" si="201"/>
        <v>112.60000000000001</v>
      </c>
      <c r="U145" s="202">
        <f t="shared" si="201"/>
        <v>2140</v>
      </c>
      <c r="V145" s="162"/>
      <c r="W145" s="168"/>
      <c r="X145" s="147"/>
      <c r="Y145" s="168"/>
      <c r="Z145" s="168"/>
      <c r="AA145" s="168"/>
      <c r="AB145" s="168"/>
      <c r="AC145" s="168"/>
      <c r="AD145" s="168"/>
      <c r="AE145" s="168"/>
      <c r="AF145" s="168"/>
      <c r="AG145" s="168"/>
      <c r="AH145" s="168"/>
      <c r="AI145" s="168"/>
      <c r="AJ145" s="151"/>
      <c r="AK145" s="168"/>
      <c r="AL145" s="168"/>
      <c r="AM145" s="168"/>
      <c r="AN145" s="151"/>
      <c r="AO145" s="168"/>
      <c r="AP145" s="168"/>
      <c r="AQ145" s="168"/>
      <c r="AR145" s="168"/>
      <c r="AS145" s="168"/>
      <c r="AT145" s="168"/>
      <c r="AU145" s="168"/>
      <c r="AV145" s="168"/>
      <c r="AW145" s="168"/>
      <c r="AX145" s="168"/>
      <c r="AY145" s="168"/>
      <c r="AZ145" s="168"/>
      <c r="BA145" s="168"/>
      <c r="BB145" s="168"/>
      <c r="BC145" s="168"/>
      <c r="BD145" s="168"/>
      <c r="BE145" s="168"/>
      <c r="BF145" s="168"/>
      <c r="BG145" s="168"/>
      <c r="BH145" s="168"/>
      <c r="BI145" s="168"/>
      <c r="BJ145" s="168"/>
      <c r="BK145" s="168"/>
      <c r="BL145" s="168"/>
      <c r="BM145" s="168"/>
      <c r="BN145" s="168"/>
    </row>
    <row r="146" spans="1:66" s="77" customFormat="1" ht="15" thickBot="1" x14ac:dyDescent="0.4">
      <c r="A146" s="179"/>
      <c r="B146" s="212"/>
      <c r="C146" s="179"/>
      <c r="D146" s="179"/>
      <c r="E146" s="179"/>
      <c r="F146" s="179"/>
      <c r="G146" s="179"/>
      <c r="H146" s="212"/>
      <c r="I146" s="179"/>
      <c r="J146" s="179"/>
      <c r="K146" s="179"/>
      <c r="L146" s="179"/>
      <c r="M146" s="212"/>
      <c r="N146" s="179"/>
      <c r="O146" s="179"/>
      <c r="P146" s="179"/>
      <c r="Q146" s="179"/>
      <c r="R146" s="179"/>
      <c r="S146" s="179"/>
      <c r="T146" s="179"/>
      <c r="U146" s="179"/>
      <c r="V146" s="163"/>
      <c r="W146" s="168"/>
      <c r="X146" s="147"/>
      <c r="Y146" s="168"/>
      <c r="Z146" s="168"/>
      <c r="AA146" s="168"/>
      <c r="AB146" s="168"/>
      <c r="AC146" s="168"/>
      <c r="AD146" s="168"/>
      <c r="AE146" s="168"/>
      <c r="AF146" s="168"/>
      <c r="AG146" s="168"/>
      <c r="AH146" s="168"/>
      <c r="AI146" s="168"/>
      <c r="AJ146" s="151"/>
      <c r="AK146" s="168"/>
      <c r="AL146" s="168"/>
      <c r="AM146" s="168"/>
      <c r="AN146" s="151"/>
      <c r="AO146" s="168"/>
      <c r="AP146" s="168"/>
      <c r="AQ146" s="168"/>
      <c r="AR146" s="168"/>
      <c r="AS146" s="168"/>
      <c r="AT146" s="168"/>
      <c r="AU146" s="168"/>
      <c r="AV146" s="168"/>
      <c r="AW146" s="168"/>
      <c r="AX146" s="168"/>
      <c r="AY146" s="168"/>
      <c r="AZ146" s="168"/>
      <c r="BA146" s="168"/>
      <c r="BB146" s="168"/>
      <c r="BC146" s="168"/>
      <c r="BD146" s="168"/>
      <c r="BE146" s="168"/>
      <c r="BF146" s="168"/>
      <c r="BG146" s="168"/>
      <c r="BH146" s="168"/>
      <c r="BI146" s="168"/>
      <c r="BJ146" s="168"/>
      <c r="BK146" s="168"/>
      <c r="BL146" s="168"/>
      <c r="BM146" s="168"/>
      <c r="BN146" s="168"/>
    </row>
    <row r="147" spans="1:66" s="77" customFormat="1" x14ac:dyDescent="0.35">
      <c r="A147" s="191" t="s">
        <v>55</v>
      </c>
      <c r="B147" s="213"/>
      <c r="C147" s="192"/>
      <c r="D147" s="192"/>
      <c r="E147" s="192"/>
      <c r="F147" s="192"/>
      <c r="G147" s="192"/>
      <c r="H147" s="213"/>
      <c r="I147" s="192"/>
      <c r="J147" s="192"/>
      <c r="K147" s="192"/>
      <c r="L147" s="192"/>
      <c r="M147" s="213"/>
      <c r="N147" s="192"/>
      <c r="O147" s="192"/>
      <c r="P147" s="192"/>
      <c r="Q147" s="192"/>
      <c r="R147" s="192"/>
      <c r="S147" s="192"/>
      <c r="T147" s="192"/>
      <c r="U147" s="192"/>
      <c r="V147" s="162"/>
      <c r="W147" s="168"/>
      <c r="X147" s="147"/>
      <c r="Y147" s="168"/>
      <c r="Z147" s="168"/>
      <c r="AA147" s="168"/>
      <c r="AB147" s="168"/>
      <c r="AC147" s="168"/>
      <c r="AD147" s="168"/>
      <c r="AE147" s="168"/>
      <c r="AF147" s="168"/>
      <c r="AG147" s="168"/>
      <c r="AH147" s="168"/>
      <c r="AI147" s="168"/>
      <c r="AJ147" s="151"/>
      <c r="AK147" s="168"/>
      <c r="AL147" s="168"/>
      <c r="AM147" s="168"/>
      <c r="AN147" s="151"/>
      <c r="AO147" s="168"/>
      <c r="AP147" s="168"/>
      <c r="AQ147" s="168"/>
      <c r="AR147" s="168"/>
      <c r="AS147" s="168"/>
      <c r="AT147" s="168"/>
      <c r="AU147" s="168"/>
      <c r="AV147" s="168"/>
      <c r="AW147" s="168"/>
      <c r="AX147" s="168"/>
      <c r="AY147" s="168"/>
      <c r="AZ147" s="168"/>
      <c r="BA147" s="168"/>
      <c r="BB147" s="168"/>
      <c r="BC147" s="168"/>
      <c r="BD147" s="168"/>
      <c r="BE147" s="168"/>
      <c r="BF147" s="168"/>
      <c r="BG147" s="168"/>
      <c r="BH147" s="168"/>
      <c r="BI147" s="168"/>
      <c r="BJ147" s="168"/>
      <c r="BK147" s="168"/>
      <c r="BL147" s="168"/>
      <c r="BM147" s="168"/>
      <c r="BN147" s="168"/>
    </row>
    <row r="148" spans="1:66" s="77" customFormat="1" ht="15" thickBot="1" x14ac:dyDescent="0.4">
      <c r="A148" s="193" t="s">
        <v>112</v>
      </c>
      <c r="B148" s="214">
        <f>(30*(B142*$AH$17)+(B143*$AH$18)+(B144*$AH$19)+(B145*$AH$20))+'reference data- 2'!B145</f>
        <v>8692375.3541505598</v>
      </c>
      <c r="C148" s="214">
        <f>(30*(C142*$AH$17)+(C143*$AH$18)+(C144*$AH$19)+(C145*$AH$20))+'reference data- 2'!C145</f>
        <v>8692375.3541505598</v>
      </c>
      <c r="D148" s="214">
        <f>(30*(D142*$AH$17)+(D143*$AH$18)+(D144*$AH$19)+(D145*$AH$20))+'reference data- 2'!D145</f>
        <v>8692375.3541505598</v>
      </c>
      <c r="E148" s="214">
        <f>(30*(E142*$AH$17)+(E143*$AH$18)+(E144*$AH$19)+(E145*$AH$20))+'reference data- 2'!E145</f>
        <v>8692375.3541505598</v>
      </c>
      <c r="F148" s="214">
        <f>(30*(F142*$AH$17)+(F143*$AH$18)+(F144*$AH$19)+(F145*$AH$20))+'reference data- 2'!F145</f>
        <v>8692375.3541505598</v>
      </c>
      <c r="G148" s="214">
        <f>(30*(G142*$AH$17)+(G143*$AH$18)+(G144*$AH$19)+(G145*$AH$20))+'reference data- 2'!G145</f>
        <v>8692375.3541505598</v>
      </c>
      <c r="H148" s="214">
        <f>(30*(H142*$AL$17)+(H143*$AL$18)+(H144*$AL$19)+(H145*$AL$20))+'reference data- 2'!H145</f>
        <v>8253073.4377591182</v>
      </c>
      <c r="I148" s="214">
        <f>(30*(I142*$AL$17)+(I143*$AL$18)+(I144*$AL$19)+(I145*$AL$20))+'reference data- 2'!I145</f>
        <v>8253073.4377591182</v>
      </c>
      <c r="J148" s="214">
        <f>(30*(J142*$AL$17)+(J143*$AL$18)+(J144*$AL$19)+(J145*$AL$20))+'reference data- 2'!J145</f>
        <v>8253073.4377591182</v>
      </c>
      <c r="K148" s="214">
        <f>(30*(K142*$AL$17)+(K143*$AL$18)+(K144*$AL$19)+(K145*$AL$20))+'reference data- 2'!K145</f>
        <v>8253073.4377591182</v>
      </c>
      <c r="L148" s="214">
        <f>(30*(L142*$AL$17)+(L143*$AL$18)+(L144*$AL$19)+(L145*$AL$20))+'reference data- 2'!L145</f>
        <v>8253073.4377591182</v>
      </c>
      <c r="M148" s="214">
        <f>(30*(M142*$AP$17)+(M143*$AP$18)+(M144*$AP$19)+(M145*$AP$20))+'reference data- 2'!M145</f>
        <v>6855294.6128772609</v>
      </c>
      <c r="N148" s="214">
        <f>(30*(N142*$AP$17)+(N143*$AP$18)+(N144*$AP$19)+(N145*$AP$20))+'reference data- 2'!N145</f>
        <v>6855294.6128772609</v>
      </c>
      <c r="O148" s="214">
        <f>(30*(O142*$AP$17)+(O143*$AP$18)+(O144*$AP$19)+(O145*$AP$20))+'reference data- 2'!O145</f>
        <v>6855294.6128772609</v>
      </c>
      <c r="P148" s="214">
        <f>(30*(P142*$AP$17)+(P143*$AP$18)+(P144*$AP$19)+(P145*$AP$20))+'reference data- 2'!P145</f>
        <v>6855294.6128772609</v>
      </c>
      <c r="Q148" s="214">
        <f>(30*(Q142*$AP$17)+(Q143*$AP$18)+(Q144*$AP$19)+(Q145*$AP$20))+'reference data- 2'!Q145</f>
        <v>6855294.6128772609</v>
      </c>
      <c r="R148" s="214">
        <f>(30*(R142*$AP$17)+(R143*$AP$18)+(R144*$AP$19)+(R145*$AP$20))+'reference data- 2'!R145</f>
        <v>6855294.6128772609</v>
      </c>
      <c r="S148" s="214">
        <f>(30*(S142*$AP$17)+(S143*$AP$18)+(S144*$AP$19)+(S145*$AP$20))+'reference data- 2'!S145</f>
        <v>6855294.6128772609</v>
      </c>
      <c r="T148" s="214">
        <f>(30*(T142*$AP$17)+(T143*$AP$18)+(T144*$AP$19)+(T145*$AP$20))+'reference data- 2'!T145</f>
        <v>6855294.6128772609</v>
      </c>
      <c r="U148" s="194">
        <f>SUM(B148:T148)</f>
        <v>148261976.21671703</v>
      </c>
      <c r="V148" s="164"/>
      <c r="W148" s="168"/>
      <c r="X148" s="147"/>
      <c r="Y148" s="168"/>
      <c r="Z148" s="168"/>
      <c r="AA148" s="168"/>
      <c r="AB148" s="168"/>
      <c r="AC148" s="168"/>
      <c r="AD148" s="168"/>
      <c r="AE148" s="168"/>
      <c r="AF148" s="168"/>
      <c r="AG148" s="168"/>
      <c r="AH148" s="168"/>
      <c r="AI148" s="168"/>
      <c r="AJ148" s="151"/>
      <c r="AK148" s="168"/>
      <c r="AL148" s="168"/>
      <c r="AM148" s="168"/>
      <c r="AN148" s="151"/>
      <c r="AO148" s="168"/>
      <c r="AP148" s="168"/>
      <c r="AQ148" s="168"/>
      <c r="AR148" s="168"/>
      <c r="AS148" s="168"/>
      <c r="AT148" s="168"/>
      <c r="AU148" s="168"/>
      <c r="AV148" s="168"/>
      <c r="AW148" s="168"/>
      <c r="AX148" s="168"/>
      <c r="AY148" s="168"/>
      <c r="AZ148" s="168"/>
      <c r="BA148" s="168"/>
      <c r="BB148" s="168"/>
      <c r="BC148" s="168"/>
      <c r="BD148" s="168"/>
      <c r="BE148" s="168"/>
      <c r="BF148" s="168"/>
      <c r="BG148" s="168"/>
      <c r="BH148" s="168"/>
      <c r="BI148" s="168"/>
      <c r="BJ148" s="168"/>
      <c r="BK148" s="168"/>
      <c r="BL148" s="168"/>
      <c r="BM148" s="168"/>
      <c r="BN148" s="168"/>
    </row>
    <row r="149" spans="1:66" s="155" customFormat="1" ht="15" thickBot="1" x14ac:dyDescent="0.4">
      <c r="A149" s="193" t="s">
        <v>113</v>
      </c>
      <c r="B149" s="214">
        <f>B148/1000</f>
        <v>8692.3753541505594</v>
      </c>
      <c r="C149" s="214">
        <f t="shared" ref="C149" si="202">C148/1000</f>
        <v>8692.3753541505594</v>
      </c>
      <c r="D149" s="214">
        <f t="shared" ref="D149" si="203">D148/1000</f>
        <v>8692.3753541505594</v>
      </c>
      <c r="E149" s="214">
        <f t="shared" ref="E149" si="204">E148/1000</f>
        <v>8692.3753541505594</v>
      </c>
      <c r="F149" s="214">
        <f t="shared" ref="F149" si="205">F148/1000</f>
        <v>8692.3753541505594</v>
      </c>
      <c r="G149" s="214">
        <f t="shared" ref="G149" si="206">G148/1000</f>
        <v>8692.3753541505594</v>
      </c>
      <c r="H149" s="214">
        <f t="shared" ref="H149" si="207">H148/1000</f>
        <v>8253.073437759118</v>
      </c>
      <c r="I149" s="214">
        <f t="shared" ref="I149" si="208">I148/1000</f>
        <v>8253.073437759118</v>
      </c>
      <c r="J149" s="214">
        <f t="shared" ref="J149" si="209">J148/1000</f>
        <v>8253.073437759118</v>
      </c>
      <c r="K149" s="214">
        <f t="shared" ref="K149" si="210">K148/1000</f>
        <v>8253.073437759118</v>
      </c>
      <c r="L149" s="214">
        <f t="shared" ref="L149" si="211">L148/1000</f>
        <v>8253.073437759118</v>
      </c>
      <c r="M149" s="214">
        <f t="shared" ref="M149" si="212">M148/1000</f>
        <v>6855.294612877261</v>
      </c>
      <c r="N149" s="214">
        <f t="shared" ref="N149" si="213">N148/1000</f>
        <v>6855.294612877261</v>
      </c>
      <c r="O149" s="214">
        <f t="shared" ref="O149" si="214">O148/1000</f>
        <v>6855.294612877261</v>
      </c>
      <c r="P149" s="214">
        <f t="shared" ref="P149" si="215">P148/1000</f>
        <v>6855.294612877261</v>
      </c>
      <c r="Q149" s="214">
        <f t="shared" ref="Q149" si="216">Q148/1000</f>
        <v>6855.294612877261</v>
      </c>
      <c r="R149" s="214">
        <f t="shared" ref="R149" si="217">R148/1000</f>
        <v>6855.294612877261</v>
      </c>
      <c r="S149" s="214">
        <f t="shared" ref="S149" si="218">S148/1000</f>
        <v>6855.294612877261</v>
      </c>
      <c r="T149" s="214">
        <f t="shared" ref="T149" si="219">T148/1000</f>
        <v>6855.294612877261</v>
      </c>
      <c r="U149" s="214">
        <f t="shared" ref="U149" si="220">U148/1000</f>
        <v>148261.97621671704</v>
      </c>
      <c r="V149" s="164"/>
      <c r="W149" s="168"/>
      <c r="X149" s="147"/>
      <c r="Y149" s="168"/>
      <c r="Z149" s="168"/>
      <c r="AA149" s="168"/>
      <c r="AB149" s="168"/>
      <c r="AC149" s="168"/>
      <c r="AD149" s="168"/>
      <c r="AE149" s="168"/>
      <c r="AF149" s="168"/>
      <c r="AG149" s="168"/>
      <c r="AH149" s="168"/>
      <c r="AI149" s="168"/>
      <c r="AJ149" s="151"/>
      <c r="AK149" s="168"/>
      <c r="AL149" s="168"/>
      <c r="AM149" s="168"/>
      <c r="AN149" s="151"/>
      <c r="AO149" s="168"/>
      <c r="AP149" s="168"/>
      <c r="AQ149" s="168"/>
      <c r="AR149" s="168"/>
      <c r="AS149" s="168"/>
      <c r="AT149" s="168"/>
      <c r="AU149" s="168"/>
      <c r="AV149" s="168"/>
      <c r="AW149" s="168"/>
      <c r="AX149" s="168"/>
      <c r="AY149" s="168"/>
      <c r="AZ149" s="168"/>
      <c r="BA149" s="168"/>
      <c r="BB149" s="168"/>
      <c r="BC149" s="168"/>
      <c r="BD149" s="168"/>
      <c r="BE149" s="168"/>
      <c r="BF149" s="168"/>
      <c r="BG149" s="168"/>
      <c r="BH149" s="168"/>
      <c r="BI149" s="168"/>
      <c r="BJ149" s="168"/>
      <c r="BK149" s="168"/>
      <c r="BL149" s="168"/>
      <c r="BM149" s="168"/>
      <c r="BN149" s="168"/>
    </row>
    <row r="150" spans="1:66" s="79" customFormat="1" ht="15" thickBot="1" x14ac:dyDescent="0.4">
      <c r="A150" s="193" t="s">
        <v>64</v>
      </c>
      <c r="B150" s="215">
        <f>B149*144</f>
        <v>1251702.0509976805</v>
      </c>
      <c r="C150" s="215">
        <f t="shared" ref="C150:U150" si="221">C149*144</f>
        <v>1251702.0509976805</v>
      </c>
      <c r="D150" s="215">
        <f t="shared" si="221"/>
        <v>1251702.0509976805</v>
      </c>
      <c r="E150" s="215">
        <f t="shared" si="221"/>
        <v>1251702.0509976805</v>
      </c>
      <c r="F150" s="215">
        <f t="shared" si="221"/>
        <v>1251702.0509976805</v>
      </c>
      <c r="G150" s="215">
        <f t="shared" si="221"/>
        <v>1251702.0509976805</v>
      </c>
      <c r="H150" s="215">
        <f t="shared" si="221"/>
        <v>1188442.5750373129</v>
      </c>
      <c r="I150" s="215">
        <f t="shared" si="221"/>
        <v>1188442.5750373129</v>
      </c>
      <c r="J150" s="215">
        <f t="shared" si="221"/>
        <v>1188442.5750373129</v>
      </c>
      <c r="K150" s="215">
        <f t="shared" si="221"/>
        <v>1188442.5750373129</v>
      </c>
      <c r="L150" s="215">
        <f t="shared" si="221"/>
        <v>1188442.5750373129</v>
      </c>
      <c r="M150" s="215">
        <f t="shared" si="221"/>
        <v>987162.42425432557</v>
      </c>
      <c r="N150" s="215">
        <f t="shared" si="221"/>
        <v>987162.42425432557</v>
      </c>
      <c r="O150" s="215">
        <f t="shared" si="221"/>
        <v>987162.42425432557</v>
      </c>
      <c r="P150" s="215">
        <f t="shared" si="221"/>
        <v>987162.42425432557</v>
      </c>
      <c r="Q150" s="215">
        <f t="shared" si="221"/>
        <v>987162.42425432557</v>
      </c>
      <c r="R150" s="215">
        <f t="shared" si="221"/>
        <v>987162.42425432557</v>
      </c>
      <c r="S150" s="215">
        <f t="shared" si="221"/>
        <v>987162.42425432557</v>
      </c>
      <c r="T150" s="215">
        <f t="shared" si="221"/>
        <v>987162.42425432557</v>
      </c>
      <c r="U150" s="215">
        <f t="shared" si="221"/>
        <v>21349724.575207256</v>
      </c>
      <c r="V150" s="159"/>
      <c r="W150" s="168"/>
      <c r="X150" s="147"/>
      <c r="Y150" s="168"/>
      <c r="Z150" s="168"/>
      <c r="AA150" s="168"/>
      <c r="AB150" s="168"/>
      <c r="AC150" s="168"/>
      <c r="AD150" s="168"/>
      <c r="AE150" s="168"/>
      <c r="AF150" s="168"/>
      <c r="AG150" s="168"/>
      <c r="AH150" s="168"/>
      <c r="AI150" s="168"/>
      <c r="AJ150" s="151"/>
      <c r="AK150" s="168"/>
      <c r="AL150" s="168"/>
      <c r="AM150" s="168"/>
      <c r="AN150" s="151"/>
      <c r="AO150" s="168"/>
      <c r="AP150" s="168"/>
      <c r="AQ150" s="168"/>
      <c r="AR150" s="168"/>
      <c r="AS150" s="168"/>
      <c r="AT150" s="168"/>
      <c r="AU150" s="168"/>
      <c r="AV150" s="168"/>
      <c r="AW150" s="168"/>
      <c r="AX150" s="168"/>
      <c r="AY150" s="168"/>
      <c r="AZ150" s="168"/>
      <c r="BA150" s="168"/>
      <c r="BB150" s="168"/>
      <c r="BC150" s="168"/>
      <c r="BD150" s="168"/>
      <c r="BE150" s="168"/>
      <c r="BF150" s="168"/>
      <c r="BG150" s="168"/>
      <c r="BH150" s="168"/>
      <c r="BI150" s="168"/>
      <c r="BJ150" s="168"/>
      <c r="BK150" s="168"/>
      <c r="BL150" s="168"/>
      <c r="BM150" s="168"/>
      <c r="BN150" s="168"/>
    </row>
    <row r="151" spans="1:66" x14ac:dyDescent="0.35">
      <c r="A151" s="193"/>
      <c r="B151" s="213"/>
      <c r="C151" s="196"/>
      <c r="D151" s="194"/>
      <c r="E151" s="194"/>
      <c r="F151" s="194"/>
      <c r="G151" s="194"/>
      <c r="H151" s="214"/>
      <c r="I151" s="194"/>
      <c r="J151" s="194"/>
      <c r="K151" s="194"/>
      <c r="L151" s="194"/>
      <c r="M151" s="214"/>
      <c r="N151" s="194"/>
      <c r="O151" s="194"/>
      <c r="P151" s="194"/>
      <c r="Q151" s="194"/>
      <c r="R151" s="194"/>
      <c r="S151" s="194"/>
      <c r="T151" s="194"/>
      <c r="U151" s="194"/>
      <c r="V151" s="159"/>
      <c r="W151" s="168"/>
    </row>
    <row r="152" spans="1:66" ht="15" thickBot="1" x14ac:dyDescent="0.4">
      <c r="A152" s="197"/>
      <c r="B152" s="216"/>
      <c r="C152" s="198"/>
      <c r="D152" s="198"/>
      <c r="E152" s="198"/>
      <c r="F152" s="198"/>
      <c r="G152" s="198"/>
      <c r="H152" s="216"/>
      <c r="I152" s="198"/>
      <c r="J152" s="198"/>
      <c r="K152" s="198"/>
      <c r="L152" s="198"/>
      <c r="M152" s="216"/>
      <c r="N152" s="198"/>
      <c r="O152" s="198"/>
      <c r="P152" s="198"/>
      <c r="Q152" s="198"/>
      <c r="R152" s="198"/>
      <c r="S152" s="198"/>
      <c r="T152" s="198"/>
      <c r="U152" s="198"/>
      <c r="V152" s="159"/>
      <c r="W152" s="168"/>
    </row>
    <row r="153" spans="1:66" x14ac:dyDescent="0.35">
      <c r="A153" s="179"/>
      <c r="B153" s="212"/>
      <c r="C153" s="179"/>
      <c r="D153" s="179"/>
      <c r="E153" s="179"/>
      <c r="F153" s="179"/>
      <c r="G153" s="179"/>
      <c r="H153" s="212"/>
      <c r="I153" s="179"/>
      <c r="J153" s="179"/>
      <c r="K153" s="179"/>
      <c r="L153" s="179"/>
      <c r="M153" s="212"/>
      <c r="N153" s="179"/>
      <c r="O153" s="179"/>
      <c r="P153" s="179"/>
      <c r="Q153" s="179"/>
      <c r="R153" s="179"/>
      <c r="S153" s="179"/>
      <c r="T153" s="179"/>
      <c r="U153" s="179"/>
      <c r="V153" s="160"/>
      <c r="W153" s="168"/>
    </row>
    <row r="154" spans="1:66" x14ac:dyDescent="0.35">
      <c r="A154" s="179"/>
      <c r="B154" s="212"/>
      <c r="C154" s="179"/>
      <c r="D154" s="179"/>
      <c r="E154" s="179"/>
      <c r="F154" s="179"/>
      <c r="G154" s="179"/>
      <c r="H154" s="212"/>
      <c r="I154" s="179"/>
      <c r="J154" s="179"/>
      <c r="K154" s="179"/>
      <c r="L154" s="179"/>
      <c r="M154" s="212"/>
      <c r="N154" s="179"/>
      <c r="O154" s="179"/>
      <c r="P154" s="179"/>
      <c r="Q154" s="179"/>
      <c r="R154" s="179"/>
      <c r="S154" s="179"/>
      <c r="T154" s="179"/>
      <c r="U154" s="179"/>
      <c r="V154" s="159"/>
      <c r="W154" s="168"/>
    </row>
    <row r="155" spans="1:66" x14ac:dyDescent="0.35">
      <c r="A155" s="180" t="s">
        <v>0</v>
      </c>
      <c r="B155" s="209" t="s">
        <v>1</v>
      </c>
      <c r="C155" s="181" t="s">
        <v>2</v>
      </c>
      <c r="D155" s="182" t="s">
        <v>3</v>
      </c>
      <c r="E155" s="182" t="s">
        <v>4</v>
      </c>
      <c r="F155" s="182" t="s">
        <v>5</v>
      </c>
      <c r="G155" s="182" t="s">
        <v>6</v>
      </c>
      <c r="H155" s="209" t="s">
        <v>7</v>
      </c>
      <c r="I155" s="182" t="s">
        <v>8</v>
      </c>
      <c r="J155" s="182" t="s">
        <v>9</v>
      </c>
      <c r="K155" s="182" t="s">
        <v>10</v>
      </c>
      <c r="L155" s="182" t="s">
        <v>11</v>
      </c>
      <c r="M155" s="209" t="s">
        <v>12</v>
      </c>
      <c r="N155" s="182" t="s">
        <v>13</v>
      </c>
      <c r="O155" s="182" t="s">
        <v>14</v>
      </c>
      <c r="P155" s="182" t="s">
        <v>15</v>
      </c>
      <c r="Q155" s="182" t="s">
        <v>16</v>
      </c>
      <c r="R155" s="183" t="s">
        <v>17</v>
      </c>
      <c r="S155" s="184" t="s">
        <v>23</v>
      </c>
      <c r="T155" s="184" t="s">
        <v>24</v>
      </c>
      <c r="U155" s="185" t="s">
        <v>18</v>
      </c>
      <c r="V155" s="159"/>
      <c r="W155" s="168"/>
    </row>
    <row r="156" spans="1:66" x14ac:dyDescent="0.35">
      <c r="A156" s="154" t="s">
        <v>36</v>
      </c>
      <c r="B156" s="217">
        <v>10578</v>
      </c>
      <c r="C156" s="199">
        <v>10578</v>
      </c>
      <c r="D156" s="199">
        <v>10578</v>
      </c>
      <c r="E156" s="199">
        <v>10578</v>
      </c>
      <c r="F156" s="199">
        <v>10578</v>
      </c>
      <c r="G156" s="199">
        <v>10578</v>
      </c>
      <c r="H156" s="217">
        <v>10578</v>
      </c>
      <c r="I156" s="199">
        <v>10578</v>
      </c>
      <c r="J156" s="199">
        <v>10578</v>
      </c>
      <c r="K156" s="199">
        <v>10578</v>
      </c>
      <c r="L156" s="199">
        <v>10578</v>
      </c>
      <c r="M156" s="217">
        <v>10578</v>
      </c>
      <c r="N156" s="199">
        <v>10578</v>
      </c>
      <c r="O156" s="199">
        <v>10578</v>
      </c>
      <c r="P156" s="199">
        <v>10578</v>
      </c>
      <c r="Q156" s="199">
        <v>10578</v>
      </c>
      <c r="R156" s="199">
        <v>10578</v>
      </c>
      <c r="S156" s="199">
        <v>10578</v>
      </c>
      <c r="T156" s="199">
        <v>10578</v>
      </c>
      <c r="U156" s="200">
        <v>200980</v>
      </c>
      <c r="V156" s="159"/>
      <c r="W156" s="168"/>
    </row>
    <row r="157" spans="1:66" x14ac:dyDescent="0.35">
      <c r="A157" s="187" t="s">
        <v>20</v>
      </c>
      <c r="B157" s="218">
        <f>B156*0.17</f>
        <v>1798.2600000000002</v>
      </c>
      <c r="C157" s="201">
        <f t="shared" ref="C157:U157" si="222">C156*0.17</f>
        <v>1798.2600000000002</v>
      </c>
      <c r="D157" s="201">
        <f t="shared" si="222"/>
        <v>1798.2600000000002</v>
      </c>
      <c r="E157" s="201">
        <f t="shared" si="222"/>
        <v>1798.2600000000002</v>
      </c>
      <c r="F157" s="201">
        <f t="shared" si="222"/>
        <v>1798.2600000000002</v>
      </c>
      <c r="G157" s="201">
        <f t="shared" si="222"/>
        <v>1798.2600000000002</v>
      </c>
      <c r="H157" s="218">
        <f t="shared" si="222"/>
        <v>1798.2600000000002</v>
      </c>
      <c r="I157" s="201">
        <f t="shared" si="222"/>
        <v>1798.2600000000002</v>
      </c>
      <c r="J157" s="201">
        <f t="shared" si="222"/>
        <v>1798.2600000000002</v>
      </c>
      <c r="K157" s="201">
        <f t="shared" si="222"/>
        <v>1798.2600000000002</v>
      </c>
      <c r="L157" s="201">
        <f t="shared" si="222"/>
        <v>1798.2600000000002</v>
      </c>
      <c r="M157" s="218">
        <f t="shared" si="222"/>
        <v>1798.2600000000002</v>
      </c>
      <c r="N157" s="201">
        <f t="shared" si="222"/>
        <v>1798.2600000000002</v>
      </c>
      <c r="O157" s="201">
        <f t="shared" si="222"/>
        <v>1798.2600000000002</v>
      </c>
      <c r="P157" s="201">
        <f t="shared" si="222"/>
        <v>1798.2600000000002</v>
      </c>
      <c r="Q157" s="201">
        <f t="shared" si="222"/>
        <v>1798.2600000000002</v>
      </c>
      <c r="R157" s="201">
        <f t="shared" si="222"/>
        <v>1798.2600000000002</v>
      </c>
      <c r="S157" s="201">
        <f t="shared" si="222"/>
        <v>1798.2600000000002</v>
      </c>
      <c r="T157" s="201">
        <f t="shared" si="222"/>
        <v>1798.2600000000002</v>
      </c>
      <c r="U157" s="202">
        <f t="shared" si="222"/>
        <v>34166.600000000006</v>
      </c>
      <c r="V157" s="167"/>
      <c r="W157" s="168"/>
    </row>
    <row r="158" spans="1:66" s="80" customFormat="1" ht="15" thickBot="1" x14ac:dyDescent="0.4">
      <c r="A158" s="187" t="s">
        <v>21</v>
      </c>
      <c r="B158" s="218">
        <f>B156*0.3</f>
        <v>3173.4</v>
      </c>
      <c r="C158" s="201">
        <f t="shared" ref="C158:U158" si="223">C156*0.3</f>
        <v>3173.4</v>
      </c>
      <c r="D158" s="201">
        <f t="shared" si="223"/>
        <v>3173.4</v>
      </c>
      <c r="E158" s="201">
        <f t="shared" si="223"/>
        <v>3173.4</v>
      </c>
      <c r="F158" s="201">
        <f t="shared" si="223"/>
        <v>3173.4</v>
      </c>
      <c r="G158" s="201">
        <f t="shared" si="223"/>
        <v>3173.4</v>
      </c>
      <c r="H158" s="218">
        <f t="shared" si="223"/>
        <v>3173.4</v>
      </c>
      <c r="I158" s="201">
        <f t="shared" si="223"/>
        <v>3173.4</v>
      </c>
      <c r="J158" s="201">
        <f t="shared" si="223"/>
        <v>3173.4</v>
      </c>
      <c r="K158" s="201">
        <f t="shared" si="223"/>
        <v>3173.4</v>
      </c>
      <c r="L158" s="201">
        <f t="shared" si="223"/>
        <v>3173.4</v>
      </c>
      <c r="M158" s="218">
        <f t="shared" si="223"/>
        <v>3173.4</v>
      </c>
      <c r="N158" s="201">
        <f t="shared" si="223"/>
        <v>3173.4</v>
      </c>
      <c r="O158" s="201">
        <f t="shared" si="223"/>
        <v>3173.4</v>
      </c>
      <c r="P158" s="201">
        <f t="shared" si="223"/>
        <v>3173.4</v>
      </c>
      <c r="Q158" s="201">
        <f t="shared" si="223"/>
        <v>3173.4</v>
      </c>
      <c r="R158" s="201">
        <f t="shared" si="223"/>
        <v>3173.4</v>
      </c>
      <c r="S158" s="201">
        <f t="shared" si="223"/>
        <v>3173.4</v>
      </c>
      <c r="T158" s="201">
        <f t="shared" si="223"/>
        <v>3173.4</v>
      </c>
      <c r="U158" s="202">
        <f t="shared" si="223"/>
        <v>60294</v>
      </c>
      <c r="V158" s="159"/>
      <c r="W158" s="168"/>
      <c r="X158" s="147"/>
      <c r="Y158" s="168"/>
      <c r="Z158" s="168"/>
      <c r="AA158" s="168"/>
      <c r="AB158" s="168"/>
      <c r="AC158" s="168"/>
      <c r="AD158" s="168"/>
      <c r="AE158" s="168"/>
      <c r="AF158" s="168"/>
      <c r="AG158" s="168"/>
      <c r="AH158" s="168"/>
      <c r="AI158" s="168"/>
      <c r="AJ158" s="151"/>
      <c r="AK158" s="168"/>
      <c r="AL158" s="168"/>
      <c r="AM158" s="168"/>
      <c r="AN158" s="151"/>
      <c r="AO158" s="168"/>
      <c r="AP158" s="168"/>
      <c r="AQ158" s="168"/>
      <c r="AR158" s="168"/>
      <c r="AS158" s="168"/>
      <c r="AT158" s="168"/>
      <c r="AU158" s="168"/>
      <c r="AV158" s="168"/>
      <c r="AW158" s="168"/>
      <c r="AX158" s="168"/>
      <c r="AY158" s="168"/>
      <c r="AZ158" s="168"/>
      <c r="BA158" s="168"/>
      <c r="BB158" s="168"/>
      <c r="BC158" s="168"/>
      <c r="BD158" s="168"/>
      <c r="BE158" s="168"/>
      <c r="BF158" s="168"/>
      <c r="BG158" s="168"/>
      <c r="BH158" s="168"/>
      <c r="BI158" s="168"/>
      <c r="BJ158" s="168"/>
      <c r="BK158" s="168"/>
      <c r="BL158" s="168"/>
      <c r="BM158" s="168"/>
      <c r="BN158" s="168"/>
    </row>
    <row r="159" spans="1:66" ht="15" thickBot="1" x14ac:dyDescent="0.4">
      <c r="A159" s="187" t="s">
        <v>26</v>
      </c>
      <c r="B159" s="218">
        <f>B156*0.33</f>
        <v>3490.7400000000002</v>
      </c>
      <c r="C159" s="201">
        <f t="shared" ref="C159:U159" si="224">C156*0.33</f>
        <v>3490.7400000000002</v>
      </c>
      <c r="D159" s="201">
        <f t="shared" si="224"/>
        <v>3490.7400000000002</v>
      </c>
      <c r="E159" s="201">
        <f t="shared" si="224"/>
        <v>3490.7400000000002</v>
      </c>
      <c r="F159" s="201">
        <f t="shared" si="224"/>
        <v>3490.7400000000002</v>
      </c>
      <c r="G159" s="201">
        <f t="shared" si="224"/>
        <v>3490.7400000000002</v>
      </c>
      <c r="H159" s="218">
        <f t="shared" si="224"/>
        <v>3490.7400000000002</v>
      </c>
      <c r="I159" s="201">
        <f t="shared" si="224"/>
        <v>3490.7400000000002</v>
      </c>
      <c r="J159" s="201">
        <f t="shared" si="224"/>
        <v>3490.7400000000002</v>
      </c>
      <c r="K159" s="201">
        <f t="shared" si="224"/>
        <v>3490.7400000000002</v>
      </c>
      <c r="L159" s="201">
        <f t="shared" si="224"/>
        <v>3490.7400000000002</v>
      </c>
      <c r="M159" s="218">
        <f t="shared" si="224"/>
        <v>3490.7400000000002</v>
      </c>
      <c r="N159" s="201">
        <f t="shared" si="224"/>
        <v>3490.7400000000002</v>
      </c>
      <c r="O159" s="201">
        <f t="shared" si="224"/>
        <v>3490.7400000000002</v>
      </c>
      <c r="P159" s="201">
        <f t="shared" si="224"/>
        <v>3490.7400000000002</v>
      </c>
      <c r="Q159" s="201">
        <f t="shared" si="224"/>
        <v>3490.7400000000002</v>
      </c>
      <c r="R159" s="201">
        <f t="shared" si="224"/>
        <v>3490.7400000000002</v>
      </c>
      <c r="S159" s="201">
        <f t="shared" si="224"/>
        <v>3490.7400000000002</v>
      </c>
      <c r="T159" s="201">
        <f t="shared" si="224"/>
        <v>3490.7400000000002</v>
      </c>
      <c r="U159" s="202">
        <f t="shared" si="224"/>
        <v>66323.400000000009</v>
      </c>
      <c r="V159" s="161"/>
      <c r="W159" s="168"/>
    </row>
    <row r="160" spans="1:66" s="78" customFormat="1" x14ac:dyDescent="0.35">
      <c r="A160" s="190" t="s">
        <v>22</v>
      </c>
      <c r="B160" s="218">
        <f>B156*0.2</f>
        <v>2115.6</v>
      </c>
      <c r="C160" s="201">
        <f t="shared" ref="C160:U160" si="225">C156*0.2</f>
        <v>2115.6</v>
      </c>
      <c r="D160" s="201">
        <f t="shared" si="225"/>
        <v>2115.6</v>
      </c>
      <c r="E160" s="201">
        <f t="shared" si="225"/>
        <v>2115.6</v>
      </c>
      <c r="F160" s="201">
        <f t="shared" si="225"/>
        <v>2115.6</v>
      </c>
      <c r="G160" s="201">
        <f t="shared" si="225"/>
        <v>2115.6</v>
      </c>
      <c r="H160" s="218">
        <f t="shared" si="225"/>
        <v>2115.6</v>
      </c>
      <c r="I160" s="201">
        <f t="shared" si="225"/>
        <v>2115.6</v>
      </c>
      <c r="J160" s="201">
        <f t="shared" si="225"/>
        <v>2115.6</v>
      </c>
      <c r="K160" s="201">
        <f t="shared" si="225"/>
        <v>2115.6</v>
      </c>
      <c r="L160" s="201">
        <f t="shared" si="225"/>
        <v>2115.6</v>
      </c>
      <c r="M160" s="218">
        <f t="shared" si="225"/>
        <v>2115.6</v>
      </c>
      <c r="N160" s="201">
        <f t="shared" si="225"/>
        <v>2115.6</v>
      </c>
      <c r="O160" s="201">
        <f t="shared" si="225"/>
        <v>2115.6</v>
      </c>
      <c r="P160" s="201">
        <f t="shared" si="225"/>
        <v>2115.6</v>
      </c>
      <c r="Q160" s="201">
        <f t="shared" si="225"/>
        <v>2115.6</v>
      </c>
      <c r="R160" s="201">
        <f t="shared" si="225"/>
        <v>2115.6</v>
      </c>
      <c r="S160" s="201">
        <f t="shared" si="225"/>
        <v>2115.6</v>
      </c>
      <c r="T160" s="201">
        <f t="shared" si="225"/>
        <v>2115.6</v>
      </c>
      <c r="U160" s="202">
        <f t="shared" si="225"/>
        <v>40196</v>
      </c>
      <c r="V160" s="162"/>
      <c r="W160" s="168"/>
      <c r="X160" s="147"/>
      <c r="Y160" s="168"/>
      <c r="Z160" s="168"/>
      <c r="AA160" s="168"/>
      <c r="AB160" s="168"/>
      <c r="AC160" s="168"/>
      <c r="AD160" s="168"/>
      <c r="AE160" s="168"/>
      <c r="AF160" s="168"/>
      <c r="AG160" s="168"/>
      <c r="AH160" s="168"/>
      <c r="AI160" s="168"/>
      <c r="AJ160" s="151"/>
      <c r="AK160" s="168"/>
      <c r="AL160" s="168"/>
      <c r="AM160" s="168"/>
      <c r="AN160" s="151"/>
      <c r="AO160" s="168"/>
      <c r="AP160" s="168"/>
      <c r="AQ160" s="168"/>
      <c r="AR160" s="168"/>
      <c r="AS160" s="168"/>
      <c r="AT160" s="168"/>
      <c r="AU160" s="168"/>
      <c r="AV160" s="168"/>
      <c r="AW160" s="168"/>
      <c r="AX160" s="168"/>
      <c r="AY160" s="168"/>
      <c r="AZ160" s="168"/>
      <c r="BA160" s="168"/>
      <c r="BB160" s="168"/>
      <c r="BC160" s="168"/>
      <c r="BD160" s="168"/>
      <c r="BE160" s="168"/>
      <c r="BF160" s="168"/>
      <c r="BG160" s="168"/>
      <c r="BH160" s="168"/>
      <c r="BI160" s="168"/>
      <c r="BJ160" s="168"/>
      <c r="BK160" s="168"/>
      <c r="BL160" s="168"/>
      <c r="BM160" s="168"/>
      <c r="BN160" s="168"/>
    </row>
    <row r="161" spans="1:66" s="77" customFormat="1" ht="15" thickBot="1" x14ac:dyDescent="0.4">
      <c r="A161" s="179"/>
      <c r="B161" s="212"/>
      <c r="C161" s="179"/>
      <c r="D161" s="179"/>
      <c r="E161" s="179"/>
      <c r="F161" s="179"/>
      <c r="G161" s="179"/>
      <c r="H161" s="212"/>
      <c r="I161" s="179"/>
      <c r="J161" s="179"/>
      <c r="K161" s="179"/>
      <c r="L161" s="179"/>
      <c r="M161" s="212"/>
      <c r="N161" s="179"/>
      <c r="O161" s="179"/>
      <c r="P161" s="179"/>
      <c r="Q161" s="179"/>
      <c r="R161" s="179"/>
      <c r="S161" s="179"/>
      <c r="T161" s="179"/>
      <c r="U161" s="179"/>
      <c r="V161" s="163"/>
      <c r="W161" s="168"/>
      <c r="X161" s="147"/>
      <c r="Y161" s="168"/>
      <c r="Z161" s="168"/>
      <c r="AA161" s="168"/>
      <c r="AB161" s="168"/>
      <c r="AC161" s="168"/>
      <c r="AD161" s="168"/>
      <c r="AE161" s="168"/>
      <c r="AF161" s="168"/>
      <c r="AG161" s="168"/>
      <c r="AH161" s="168"/>
      <c r="AI161" s="168"/>
      <c r="AJ161" s="151"/>
      <c r="AK161" s="168"/>
      <c r="AL161" s="168"/>
      <c r="AM161" s="168"/>
      <c r="AN161" s="151"/>
      <c r="AO161" s="168"/>
      <c r="AP161" s="168"/>
      <c r="AQ161" s="168"/>
      <c r="AR161" s="168"/>
      <c r="AS161" s="168"/>
      <c r="AT161" s="168"/>
      <c r="AU161" s="168"/>
      <c r="AV161" s="168"/>
      <c r="AW161" s="168"/>
      <c r="AX161" s="168"/>
      <c r="AY161" s="168"/>
      <c r="AZ161" s="168"/>
      <c r="BA161" s="168"/>
      <c r="BB161" s="168"/>
      <c r="BC161" s="168"/>
      <c r="BD161" s="168"/>
      <c r="BE161" s="168"/>
      <c r="BF161" s="168"/>
      <c r="BG161" s="168"/>
      <c r="BH161" s="168"/>
      <c r="BI161" s="168"/>
      <c r="BJ161" s="168"/>
      <c r="BK161" s="168"/>
      <c r="BL161" s="168"/>
      <c r="BM161" s="168"/>
      <c r="BN161" s="168"/>
    </row>
    <row r="162" spans="1:66" s="77" customFormat="1" x14ac:dyDescent="0.35">
      <c r="A162" s="191" t="s">
        <v>55</v>
      </c>
      <c r="B162" s="213"/>
      <c r="C162" s="192"/>
      <c r="D162" s="192"/>
      <c r="E162" s="192"/>
      <c r="F162" s="192"/>
      <c r="G162" s="192"/>
      <c r="H162" s="213"/>
      <c r="I162" s="192"/>
      <c r="J162" s="192"/>
      <c r="K162" s="192"/>
      <c r="L162" s="192"/>
      <c r="M162" s="213"/>
      <c r="N162" s="192"/>
      <c r="O162" s="192"/>
      <c r="P162" s="192"/>
      <c r="Q162" s="192"/>
      <c r="R162" s="192"/>
      <c r="S162" s="192"/>
      <c r="T162" s="192"/>
      <c r="U162" s="192"/>
      <c r="V162" s="162"/>
      <c r="W162" s="168"/>
      <c r="X162" s="147"/>
      <c r="Y162" s="168"/>
      <c r="Z162" s="168"/>
      <c r="AA162" s="168"/>
      <c r="AB162" s="168"/>
      <c r="AC162" s="168"/>
      <c r="AD162" s="168"/>
      <c r="AE162" s="168"/>
      <c r="AF162" s="168"/>
      <c r="AG162" s="168"/>
      <c r="AH162" s="168"/>
      <c r="AI162" s="168"/>
      <c r="AJ162" s="151"/>
      <c r="AK162" s="168"/>
      <c r="AL162" s="168"/>
      <c r="AM162" s="168"/>
      <c r="AN162" s="151"/>
      <c r="AO162" s="168"/>
      <c r="AP162" s="168"/>
      <c r="AQ162" s="168"/>
      <c r="AR162" s="168"/>
      <c r="AS162" s="168"/>
      <c r="AT162" s="168"/>
      <c r="AU162" s="168"/>
      <c r="AV162" s="168"/>
      <c r="AW162" s="168"/>
      <c r="AX162" s="168"/>
      <c r="AY162" s="168"/>
      <c r="AZ162" s="168"/>
      <c r="BA162" s="168"/>
      <c r="BB162" s="168"/>
      <c r="BC162" s="168"/>
      <c r="BD162" s="168"/>
      <c r="BE162" s="168"/>
      <c r="BF162" s="168"/>
      <c r="BG162" s="168"/>
      <c r="BH162" s="168"/>
      <c r="BI162" s="168"/>
      <c r="BJ162" s="168"/>
      <c r="BK162" s="168"/>
      <c r="BL162" s="168"/>
      <c r="BM162" s="168"/>
      <c r="BN162" s="168"/>
    </row>
    <row r="163" spans="1:66" s="77" customFormat="1" ht="15" thickBot="1" x14ac:dyDescent="0.4">
      <c r="A163" s="193" t="s">
        <v>112</v>
      </c>
      <c r="B163" s="214">
        <f>(30*(B157*$AH$17)+(B158*$AH$18)+(B159*$AH$19)+(B160*$AH$20))+'reference data- 2'!B160</f>
        <v>85647895.048209786</v>
      </c>
      <c r="C163" s="214">
        <f>(30*(C157*$AH$17)+(C158*$AH$18)+(C159*$AH$19)+(C160*$AH$20))+'reference data- 2'!C160</f>
        <v>85647895.048209786</v>
      </c>
      <c r="D163" s="214">
        <f>(30*(D157*$AH$17)+(D158*$AH$18)+(D159*$AH$19)+(D160*$AH$20))+'reference data- 2'!D160</f>
        <v>85647895.048209786</v>
      </c>
      <c r="E163" s="214">
        <f>(30*(E157*$AH$17)+(E158*$AH$18)+(E159*$AH$19)+(E160*$AH$20))+'reference data- 2'!E160</f>
        <v>85647895.048209786</v>
      </c>
      <c r="F163" s="214">
        <f>(30*(F157*$AH$17)+(F158*$AH$18)+(F159*$AH$19)+(F160*$AH$20))+'reference data- 2'!F160</f>
        <v>85647895.048209786</v>
      </c>
      <c r="G163" s="214">
        <f>(30*(G157*$AH$17)+(G158*$AH$18)+(G159*$AH$19)+(G160*$AH$20))+'reference data- 2'!G160</f>
        <v>85647895.048209786</v>
      </c>
      <c r="H163" s="214">
        <f>(30*(H157*$AL$17)+(H158*$AL$18)+(H159*$AL$19)+(H160*$AL$20))+'reference data- 2'!H160</f>
        <v>82690414.891736761</v>
      </c>
      <c r="I163" s="214">
        <f>(30*(I157*$AL$17)+(I158*$AL$18)+(I159*$AL$19)+(I160*$AL$20))+'reference data- 2'!I160</f>
        <v>82690414.891736761</v>
      </c>
      <c r="J163" s="214">
        <f>(30*(J157*$AL$17)+(J158*$AL$18)+(J159*$AL$19)+(J160*$AL$20))+'reference data- 2'!J160</f>
        <v>82690414.891736761</v>
      </c>
      <c r="K163" s="214">
        <f>(30*(K157*$AL$17)+(K158*$AL$18)+(K159*$AL$19)+(K160*$AL$20))+'reference data- 2'!K160</f>
        <v>82690414.891736761</v>
      </c>
      <c r="L163" s="214">
        <f>(30*(L157*$AL$17)+(L158*$AL$18)+(L159*$AL$19)+(L160*$AL$20))+'reference data- 2'!L160</f>
        <v>82690414.891736761</v>
      </c>
      <c r="M163" s="214">
        <f>(30*(M157*$AP$17)+(M158*$AP$18)+(M159*$AP$19)+(M160*$AP$20))+'reference data- 2'!M160</f>
        <v>73280250.757504463</v>
      </c>
      <c r="N163" s="214">
        <f>(30*(N157*$AP$17)+(N158*$AP$18)+(N159*$AP$19)+(N160*$AP$20))+'reference data- 2'!N160</f>
        <v>73280250.757504463</v>
      </c>
      <c r="O163" s="214">
        <f>(30*(O157*$AP$17)+(O158*$AP$18)+(O159*$AP$19)+(O160*$AP$20))+'reference data- 2'!O160</f>
        <v>73280250.757504463</v>
      </c>
      <c r="P163" s="214">
        <f>(30*(P157*$AP$17)+(P158*$AP$18)+(P159*$AP$19)+(P160*$AP$20))+'reference data- 2'!P160</f>
        <v>73280250.757504463</v>
      </c>
      <c r="Q163" s="214">
        <f>(30*(Q157*$AP$17)+(Q158*$AP$18)+(Q159*$AP$19)+(Q160*$AP$20))+'reference data- 2'!Q160</f>
        <v>73280250.757504463</v>
      </c>
      <c r="R163" s="214">
        <f>(30*(R157*$AP$17)+(R158*$AP$18)+(R159*$AP$19)+(R160*$AP$20))+'reference data- 2'!R160</f>
        <v>73280250.757504463</v>
      </c>
      <c r="S163" s="214">
        <f>(30*(S157*$AP$17)+(S158*$AP$18)+(S159*$AP$19)+(S160*$AP$20))+'reference data- 2'!S160</f>
        <v>73280250.757504463</v>
      </c>
      <c r="T163" s="214">
        <f>(30*(T157*$AP$17)+(T158*$AP$18)+(T159*$AP$19)+(T160*$AP$20))+'reference data- 2'!T160</f>
        <v>73280250.757504463</v>
      </c>
      <c r="U163" s="194">
        <f>SUM(B163:T163)</f>
        <v>1513581450.8079782</v>
      </c>
      <c r="V163" s="164"/>
      <c r="W163" s="168"/>
      <c r="X163" s="147"/>
      <c r="Y163" s="168"/>
      <c r="Z163" s="168"/>
      <c r="AA163" s="168"/>
      <c r="AB163" s="168"/>
      <c r="AC163" s="168"/>
      <c r="AD163" s="168"/>
      <c r="AE163" s="168"/>
      <c r="AF163" s="168"/>
      <c r="AG163" s="168"/>
      <c r="AH163" s="168"/>
      <c r="AI163" s="168"/>
      <c r="AJ163" s="151"/>
      <c r="AK163" s="168"/>
      <c r="AL163" s="168"/>
      <c r="AM163" s="168"/>
      <c r="AN163" s="151"/>
      <c r="AO163" s="168"/>
      <c r="AP163" s="168"/>
      <c r="AQ163" s="168"/>
      <c r="AR163" s="168"/>
      <c r="AS163" s="168"/>
      <c r="AT163" s="168"/>
      <c r="AU163" s="168"/>
      <c r="AV163" s="168"/>
      <c r="AW163" s="168"/>
      <c r="AX163" s="168"/>
      <c r="AY163" s="168"/>
      <c r="AZ163" s="168"/>
      <c r="BA163" s="168"/>
      <c r="BB163" s="168"/>
      <c r="BC163" s="168"/>
      <c r="BD163" s="168"/>
      <c r="BE163" s="168"/>
      <c r="BF163" s="168"/>
      <c r="BG163" s="168"/>
      <c r="BH163" s="168"/>
      <c r="BI163" s="168"/>
      <c r="BJ163" s="168"/>
      <c r="BK163" s="168"/>
      <c r="BL163" s="168"/>
      <c r="BM163" s="168"/>
      <c r="BN163" s="168"/>
    </row>
    <row r="164" spans="1:66" s="155" customFormat="1" ht="15" thickBot="1" x14ac:dyDescent="0.4">
      <c r="A164" s="193" t="s">
        <v>113</v>
      </c>
      <c r="B164" s="214">
        <f>B163/1000</f>
        <v>85647.895048209786</v>
      </c>
      <c r="C164" s="214">
        <f t="shared" ref="C164" si="226">C163/1000</f>
        <v>85647.895048209786</v>
      </c>
      <c r="D164" s="214">
        <f t="shared" ref="D164" si="227">D163/1000</f>
        <v>85647.895048209786</v>
      </c>
      <c r="E164" s="214">
        <f t="shared" ref="E164" si="228">E163/1000</f>
        <v>85647.895048209786</v>
      </c>
      <c r="F164" s="214">
        <f t="shared" ref="F164" si="229">F163/1000</f>
        <v>85647.895048209786</v>
      </c>
      <c r="G164" s="214">
        <f t="shared" ref="G164" si="230">G163/1000</f>
        <v>85647.895048209786</v>
      </c>
      <c r="H164" s="214">
        <f t="shared" ref="H164" si="231">H163/1000</f>
        <v>82690.414891736757</v>
      </c>
      <c r="I164" s="214">
        <f t="shared" ref="I164" si="232">I163/1000</f>
        <v>82690.414891736757</v>
      </c>
      <c r="J164" s="214">
        <f t="shared" ref="J164" si="233">J163/1000</f>
        <v>82690.414891736757</v>
      </c>
      <c r="K164" s="214">
        <f t="shared" ref="K164" si="234">K163/1000</f>
        <v>82690.414891736757</v>
      </c>
      <c r="L164" s="214">
        <f t="shared" ref="L164" si="235">L163/1000</f>
        <v>82690.414891736757</v>
      </c>
      <c r="M164" s="214">
        <f t="shared" ref="M164" si="236">M163/1000</f>
        <v>73280.250757504458</v>
      </c>
      <c r="N164" s="214">
        <f t="shared" ref="N164" si="237">N163/1000</f>
        <v>73280.250757504458</v>
      </c>
      <c r="O164" s="214">
        <f t="shared" ref="O164" si="238">O163/1000</f>
        <v>73280.250757504458</v>
      </c>
      <c r="P164" s="214">
        <f t="shared" ref="P164" si="239">P163/1000</f>
        <v>73280.250757504458</v>
      </c>
      <c r="Q164" s="214">
        <f t="shared" ref="Q164" si="240">Q163/1000</f>
        <v>73280.250757504458</v>
      </c>
      <c r="R164" s="214">
        <f t="shared" ref="R164" si="241">R163/1000</f>
        <v>73280.250757504458</v>
      </c>
      <c r="S164" s="214">
        <f t="shared" ref="S164" si="242">S163/1000</f>
        <v>73280.250757504458</v>
      </c>
      <c r="T164" s="214">
        <f t="shared" ref="T164" si="243">T163/1000</f>
        <v>73280.250757504458</v>
      </c>
      <c r="U164" s="214">
        <f t="shared" ref="U164" si="244">U163/1000</f>
        <v>1513581.4508079782</v>
      </c>
      <c r="V164" s="164"/>
      <c r="W164" s="168"/>
      <c r="X164" s="147"/>
      <c r="Y164" s="168"/>
      <c r="Z164" s="168"/>
      <c r="AA164" s="168"/>
      <c r="AB164" s="168"/>
      <c r="AC164" s="168"/>
      <c r="AD164" s="168"/>
      <c r="AE164" s="168"/>
      <c r="AF164" s="168"/>
      <c r="AG164" s="168"/>
      <c r="AH164" s="168"/>
      <c r="AI164" s="168"/>
      <c r="AJ164" s="151"/>
      <c r="AK164" s="168"/>
      <c r="AL164" s="168"/>
      <c r="AM164" s="168"/>
      <c r="AN164" s="151"/>
      <c r="AO164" s="168"/>
      <c r="AP164" s="168"/>
      <c r="AQ164" s="168"/>
      <c r="AR164" s="168"/>
      <c r="AS164" s="168"/>
      <c r="AT164" s="168"/>
      <c r="AU164" s="168"/>
      <c r="AV164" s="168"/>
      <c r="AW164" s="168"/>
      <c r="AX164" s="168"/>
      <c r="AY164" s="168"/>
      <c r="AZ164" s="168"/>
      <c r="BA164" s="168"/>
      <c r="BB164" s="168"/>
      <c r="BC164" s="168"/>
      <c r="BD164" s="168"/>
      <c r="BE164" s="168"/>
      <c r="BF164" s="168"/>
      <c r="BG164" s="168"/>
      <c r="BH164" s="168"/>
      <c r="BI164" s="168"/>
      <c r="BJ164" s="168"/>
      <c r="BK164" s="168"/>
      <c r="BL164" s="168"/>
      <c r="BM164" s="168"/>
      <c r="BN164" s="168"/>
    </row>
    <row r="165" spans="1:66" s="79" customFormat="1" ht="15" thickBot="1" x14ac:dyDescent="0.4">
      <c r="A165" s="193" t="s">
        <v>64</v>
      </c>
      <c r="B165" s="215">
        <f>B164*144</f>
        <v>12333296.88694221</v>
      </c>
      <c r="C165" s="215">
        <f t="shared" ref="C165:U165" si="245">C164*144</f>
        <v>12333296.88694221</v>
      </c>
      <c r="D165" s="215">
        <f t="shared" si="245"/>
        <v>12333296.88694221</v>
      </c>
      <c r="E165" s="215">
        <f t="shared" si="245"/>
        <v>12333296.88694221</v>
      </c>
      <c r="F165" s="215">
        <f t="shared" si="245"/>
        <v>12333296.88694221</v>
      </c>
      <c r="G165" s="215">
        <f t="shared" si="245"/>
        <v>12333296.88694221</v>
      </c>
      <c r="H165" s="215">
        <f t="shared" si="245"/>
        <v>11907419.744410094</v>
      </c>
      <c r="I165" s="215">
        <f t="shared" si="245"/>
        <v>11907419.744410094</v>
      </c>
      <c r="J165" s="215">
        <f t="shared" si="245"/>
        <v>11907419.744410094</v>
      </c>
      <c r="K165" s="215">
        <f t="shared" si="245"/>
        <v>11907419.744410094</v>
      </c>
      <c r="L165" s="215">
        <f t="shared" si="245"/>
        <v>11907419.744410094</v>
      </c>
      <c r="M165" s="215">
        <f t="shared" si="245"/>
        <v>10552356.109080642</v>
      </c>
      <c r="N165" s="215">
        <f t="shared" si="245"/>
        <v>10552356.109080642</v>
      </c>
      <c r="O165" s="215">
        <f t="shared" si="245"/>
        <v>10552356.109080642</v>
      </c>
      <c r="P165" s="215">
        <f t="shared" si="245"/>
        <v>10552356.109080642</v>
      </c>
      <c r="Q165" s="215">
        <f t="shared" si="245"/>
        <v>10552356.109080642</v>
      </c>
      <c r="R165" s="215">
        <f t="shared" si="245"/>
        <v>10552356.109080642</v>
      </c>
      <c r="S165" s="215">
        <f t="shared" si="245"/>
        <v>10552356.109080642</v>
      </c>
      <c r="T165" s="215">
        <f t="shared" si="245"/>
        <v>10552356.109080642</v>
      </c>
      <c r="U165" s="215">
        <f t="shared" si="245"/>
        <v>217955728.91634884</v>
      </c>
      <c r="V165" s="159"/>
      <c r="W165" s="168"/>
      <c r="X165" s="147"/>
      <c r="Y165" s="168"/>
      <c r="Z165" s="168"/>
      <c r="AA165" s="168"/>
      <c r="AB165" s="168"/>
      <c r="AC165" s="168"/>
      <c r="AD165" s="168"/>
      <c r="AE165" s="168"/>
      <c r="AF165" s="168"/>
      <c r="AG165" s="168"/>
      <c r="AH165" s="168"/>
      <c r="AI165" s="168"/>
      <c r="AJ165" s="151"/>
      <c r="AK165" s="168"/>
      <c r="AL165" s="168"/>
      <c r="AM165" s="168"/>
      <c r="AN165" s="151"/>
      <c r="AO165" s="168"/>
      <c r="AP165" s="168"/>
      <c r="AQ165" s="168"/>
      <c r="AR165" s="168"/>
      <c r="AS165" s="168"/>
      <c r="AT165" s="168"/>
      <c r="AU165" s="168"/>
      <c r="AV165" s="168"/>
      <c r="AW165" s="168"/>
      <c r="AX165" s="168"/>
      <c r="AY165" s="168"/>
      <c r="AZ165" s="168"/>
      <c r="BA165" s="168"/>
      <c r="BB165" s="168"/>
      <c r="BC165" s="168"/>
      <c r="BD165" s="168"/>
      <c r="BE165" s="168"/>
      <c r="BF165" s="168"/>
      <c r="BG165" s="168"/>
      <c r="BH165" s="168"/>
      <c r="BI165" s="168"/>
      <c r="BJ165" s="168"/>
      <c r="BK165" s="168"/>
      <c r="BL165" s="168"/>
      <c r="BM165" s="168"/>
      <c r="BN165" s="168"/>
    </row>
    <row r="166" spans="1:66" x14ac:dyDescent="0.35">
      <c r="A166" s="193"/>
      <c r="B166" s="213"/>
      <c r="C166" s="196"/>
      <c r="D166" s="194"/>
      <c r="E166" s="194"/>
      <c r="F166" s="194"/>
      <c r="G166" s="194"/>
      <c r="H166" s="214"/>
      <c r="I166" s="194"/>
      <c r="J166" s="194"/>
      <c r="K166" s="194"/>
      <c r="L166" s="194"/>
      <c r="M166" s="214"/>
      <c r="N166" s="194"/>
      <c r="O166" s="194"/>
      <c r="P166" s="194"/>
      <c r="Q166" s="194"/>
      <c r="R166" s="194"/>
      <c r="S166" s="194"/>
      <c r="T166" s="194"/>
      <c r="U166" s="194"/>
      <c r="V166" s="159"/>
      <c r="W166" s="168"/>
    </row>
    <row r="167" spans="1:66" ht="15" thickBot="1" x14ac:dyDescent="0.4">
      <c r="A167" s="197"/>
      <c r="B167" s="216"/>
      <c r="C167" s="198"/>
      <c r="D167" s="198"/>
      <c r="E167" s="198"/>
      <c r="F167" s="198"/>
      <c r="G167" s="198"/>
      <c r="H167" s="216"/>
      <c r="I167" s="198"/>
      <c r="J167" s="198"/>
      <c r="K167" s="198"/>
      <c r="L167" s="198"/>
      <c r="M167" s="216"/>
      <c r="N167" s="198"/>
      <c r="O167" s="198"/>
      <c r="P167" s="198"/>
      <c r="Q167" s="198"/>
      <c r="R167" s="198"/>
      <c r="S167" s="198"/>
      <c r="T167" s="198"/>
      <c r="U167" s="198"/>
      <c r="V167" s="159"/>
      <c r="W167" s="168"/>
    </row>
    <row r="168" spans="1:66" x14ac:dyDescent="0.35">
      <c r="A168" s="179"/>
      <c r="B168" s="212"/>
      <c r="C168" s="179"/>
      <c r="D168" s="179"/>
      <c r="E168" s="179"/>
      <c r="F168" s="179"/>
      <c r="G168" s="179"/>
      <c r="H168" s="212"/>
      <c r="I168" s="179"/>
      <c r="J168" s="179"/>
      <c r="K168" s="179"/>
      <c r="L168" s="179"/>
      <c r="M168" s="212"/>
      <c r="N168" s="179"/>
      <c r="O168" s="179"/>
      <c r="P168" s="179"/>
      <c r="Q168" s="179"/>
      <c r="R168" s="179"/>
      <c r="S168" s="179"/>
      <c r="T168" s="179"/>
      <c r="U168" s="179"/>
      <c r="V168" s="160"/>
      <c r="W168" s="168"/>
    </row>
    <row r="169" spans="1:66" x14ac:dyDescent="0.35">
      <c r="A169" s="179"/>
      <c r="B169" s="212"/>
      <c r="C169" s="179"/>
      <c r="D169" s="179"/>
      <c r="E169" s="179"/>
      <c r="F169" s="179"/>
      <c r="G169" s="179"/>
      <c r="H169" s="212"/>
      <c r="I169" s="179"/>
      <c r="J169" s="179"/>
      <c r="K169" s="179"/>
      <c r="L169" s="179"/>
      <c r="M169" s="212"/>
      <c r="N169" s="179"/>
      <c r="O169" s="179"/>
      <c r="P169" s="179"/>
      <c r="Q169" s="179"/>
      <c r="R169" s="179"/>
      <c r="S169" s="179"/>
      <c r="T169" s="179"/>
      <c r="U169" s="179"/>
      <c r="V169" s="159"/>
      <c r="W169" s="168"/>
    </row>
    <row r="170" spans="1:66" x14ac:dyDescent="0.35">
      <c r="A170" s="180" t="s">
        <v>0</v>
      </c>
      <c r="B170" s="209" t="s">
        <v>1</v>
      </c>
      <c r="C170" s="181" t="s">
        <v>2</v>
      </c>
      <c r="D170" s="182" t="s">
        <v>3</v>
      </c>
      <c r="E170" s="182" t="s">
        <v>4</v>
      </c>
      <c r="F170" s="182" t="s">
        <v>5</v>
      </c>
      <c r="G170" s="182" t="s">
        <v>6</v>
      </c>
      <c r="H170" s="209" t="s">
        <v>7</v>
      </c>
      <c r="I170" s="182" t="s">
        <v>8</v>
      </c>
      <c r="J170" s="182" t="s">
        <v>9</v>
      </c>
      <c r="K170" s="182" t="s">
        <v>10</v>
      </c>
      <c r="L170" s="182" t="s">
        <v>11</v>
      </c>
      <c r="M170" s="209" t="s">
        <v>12</v>
      </c>
      <c r="N170" s="182" t="s">
        <v>13</v>
      </c>
      <c r="O170" s="182" t="s">
        <v>14</v>
      </c>
      <c r="P170" s="182" t="s">
        <v>15</v>
      </c>
      <c r="Q170" s="182" t="s">
        <v>16</v>
      </c>
      <c r="R170" s="183" t="s">
        <v>17</v>
      </c>
      <c r="S170" s="184" t="s">
        <v>23</v>
      </c>
      <c r="T170" s="184" t="s">
        <v>24</v>
      </c>
      <c r="U170" s="185" t="s">
        <v>18</v>
      </c>
      <c r="V170" s="159"/>
      <c r="W170" s="168"/>
    </row>
    <row r="171" spans="1:66" x14ac:dyDescent="0.35">
      <c r="A171" s="179"/>
      <c r="B171" s="222"/>
      <c r="C171" s="205"/>
      <c r="D171" s="205"/>
      <c r="E171" s="205"/>
      <c r="F171" s="205"/>
      <c r="G171" s="205"/>
      <c r="H171" s="219"/>
      <c r="I171" s="205"/>
      <c r="J171" s="205"/>
      <c r="K171" s="205"/>
      <c r="L171" s="205"/>
      <c r="M171" s="219"/>
      <c r="N171" s="205"/>
      <c r="O171" s="205"/>
      <c r="P171" s="205"/>
      <c r="Q171" s="205"/>
      <c r="R171" s="205"/>
      <c r="S171" s="205"/>
      <c r="T171" s="206"/>
      <c r="U171" s="206"/>
      <c r="V171" s="159"/>
      <c r="W171" s="168"/>
    </row>
    <row r="172" spans="1:66" x14ac:dyDescent="0.35">
      <c r="A172" s="187" t="s">
        <v>20</v>
      </c>
      <c r="B172" s="213"/>
      <c r="C172" s="196"/>
      <c r="D172" s="196"/>
      <c r="E172" s="196"/>
      <c r="F172" s="196"/>
      <c r="G172" s="196"/>
      <c r="H172" s="213"/>
      <c r="I172" s="196"/>
      <c r="J172" s="196"/>
      <c r="K172" s="196"/>
      <c r="L172" s="196"/>
      <c r="M172" s="213"/>
      <c r="N172" s="196"/>
      <c r="O172" s="196"/>
      <c r="P172" s="196"/>
      <c r="Q172" s="196"/>
      <c r="R172" s="196"/>
      <c r="S172" s="196"/>
      <c r="T172" s="196"/>
      <c r="U172" s="196"/>
      <c r="V172" s="167"/>
      <c r="W172" s="168"/>
    </row>
    <row r="173" spans="1:66" s="80" customFormat="1" x14ac:dyDescent="0.35">
      <c r="A173" s="187" t="s">
        <v>21</v>
      </c>
      <c r="B173" s="213"/>
      <c r="C173" s="196"/>
      <c r="D173" s="196"/>
      <c r="E173" s="196"/>
      <c r="F173" s="196"/>
      <c r="G173" s="196"/>
      <c r="H173" s="213"/>
      <c r="I173" s="196"/>
      <c r="J173" s="196"/>
      <c r="K173" s="196"/>
      <c r="L173" s="196"/>
      <c r="M173" s="213"/>
      <c r="N173" s="196"/>
      <c r="O173" s="196"/>
      <c r="P173" s="196"/>
      <c r="Q173" s="196"/>
      <c r="R173" s="196"/>
      <c r="S173" s="196"/>
      <c r="T173" s="196"/>
      <c r="U173" s="196"/>
      <c r="V173" s="167"/>
      <c r="W173" s="168"/>
      <c r="X173" s="147"/>
      <c r="Y173" s="168"/>
      <c r="Z173" s="168"/>
      <c r="AA173" s="168"/>
      <c r="AB173" s="168"/>
      <c r="AC173" s="168"/>
      <c r="AD173" s="168"/>
      <c r="AE173" s="168"/>
      <c r="AF173" s="168"/>
      <c r="AG173" s="168"/>
      <c r="AH173" s="168"/>
      <c r="AI173" s="168"/>
      <c r="AJ173" s="151"/>
      <c r="AK173" s="168"/>
      <c r="AL173" s="168"/>
      <c r="AM173" s="168"/>
      <c r="AN173" s="151"/>
      <c r="AO173" s="168"/>
      <c r="AP173" s="168"/>
      <c r="AQ173" s="168"/>
      <c r="AR173" s="168"/>
      <c r="AS173" s="168"/>
      <c r="AT173" s="168"/>
      <c r="AU173" s="168"/>
      <c r="AV173" s="168"/>
      <c r="AW173" s="168"/>
      <c r="AX173" s="168"/>
      <c r="AY173" s="168"/>
      <c r="AZ173" s="168"/>
      <c r="BA173" s="168"/>
      <c r="BB173" s="168"/>
      <c r="BC173" s="168"/>
      <c r="BD173" s="168"/>
      <c r="BE173" s="168"/>
      <c r="BF173" s="168"/>
      <c r="BG173" s="168"/>
      <c r="BH173" s="168"/>
      <c r="BI173" s="168"/>
      <c r="BJ173" s="168"/>
      <c r="BK173" s="168"/>
      <c r="BL173" s="168"/>
      <c r="BM173" s="168"/>
      <c r="BN173" s="168"/>
    </row>
    <row r="174" spans="1:66" ht="15" thickBot="1" x14ac:dyDescent="0.4">
      <c r="A174" s="187" t="s">
        <v>26</v>
      </c>
      <c r="B174" s="220"/>
      <c r="C174" s="207"/>
      <c r="D174" s="207"/>
      <c r="E174" s="207"/>
      <c r="F174" s="207"/>
      <c r="G174" s="207"/>
      <c r="H174" s="220"/>
      <c r="I174" s="207"/>
      <c r="J174" s="207"/>
      <c r="K174" s="207"/>
      <c r="L174" s="207"/>
      <c r="M174" s="220"/>
      <c r="N174" s="207"/>
      <c r="O174" s="207"/>
      <c r="P174" s="207"/>
      <c r="Q174" s="207"/>
      <c r="R174" s="207"/>
      <c r="S174" s="207"/>
      <c r="T174" s="207"/>
      <c r="U174" s="207"/>
      <c r="V174" s="159"/>
      <c r="W174" s="168"/>
    </row>
    <row r="175" spans="1:66" s="78" customFormat="1" x14ac:dyDescent="0.35">
      <c r="A175" s="190" t="s">
        <v>22</v>
      </c>
      <c r="B175" s="213"/>
      <c r="C175" s="196"/>
      <c r="D175" s="196"/>
      <c r="E175" s="196"/>
      <c r="F175" s="196"/>
      <c r="G175" s="196"/>
      <c r="H175" s="213"/>
      <c r="I175" s="196"/>
      <c r="J175" s="196"/>
      <c r="K175" s="196"/>
      <c r="L175" s="196"/>
      <c r="M175" s="213"/>
      <c r="N175" s="196"/>
      <c r="O175" s="196"/>
      <c r="P175" s="196"/>
      <c r="Q175" s="196"/>
      <c r="R175" s="196"/>
      <c r="S175" s="196"/>
      <c r="T175" s="196"/>
      <c r="U175" s="196"/>
      <c r="V175" s="161"/>
      <c r="W175" s="168"/>
      <c r="X175" s="147"/>
      <c r="Y175" s="168"/>
      <c r="Z175" s="168"/>
      <c r="AA175" s="168"/>
      <c r="AB175" s="168"/>
      <c r="AC175" s="168"/>
      <c r="AD175" s="168"/>
      <c r="AE175" s="168"/>
      <c r="AF175" s="168"/>
      <c r="AG175" s="168"/>
      <c r="AH175" s="168"/>
      <c r="AI175" s="168"/>
      <c r="AJ175" s="151"/>
      <c r="AK175" s="168"/>
      <c r="AL175" s="168"/>
      <c r="AM175" s="168"/>
      <c r="AN175" s="151"/>
      <c r="AO175" s="168"/>
      <c r="AP175" s="168"/>
      <c r="AQ175" s="168"/>
      <c r="AR175" s="168"/>
      <c r="AS175" s="168"/>
      <c r="AT175" s="168"/>
      <c r="AU175" s="168"/>
      <c r="AV175" s="168"/>
      <c r="AW175" s="168"/>
      <c r="AX175" s="168"/>
      <c r="AY175" s="168"/>
      <c r="AZ175" s="168"/>
      <c r="BA175" s="168"/>
      <c r="BB175" s="168"/>
      <c r="BC175" s="168"/>
      <c r="BD175" s="168"/>
      <c r="BE175" s="168"/>
      <c r="BF175" s="168"/>
      <c r="BG175" s="168"/>
      <c r="BH175" s="168"/>
      <c r="BI175" s="168"/>
      <c r="BJ175" s="168"/>
      <c r="BK175" s="168"/>
      <c r="BL175" s="168"/>
      <c r="BM175" s="168"/>
      <c r="BN175" s="168"/>
    </row>
    <row r="176" spans="1:66" s="77" customFormat="1" x14ac:dyDescent="0.35">
      <c r="A176" s="190" t="s">
        <v>22</v>
      </c>
      <c r="B176" s="213"/>
      <c r="C176" s="196"/>
      <c r="D176" s="196"/>
      <c r="E176" s="196"/>
      <c r="F176" s="196"/>
      <c r="G176" s="196"/>
      <c r="H176" s="213"/>
      <c r="I176" s="196"/>
      <c r="J176" s="196"/>
      <c r="K176" s="196"/>
      <c r="L176" s="196"/>
      <c r="M176" s="213"/>
      <c r="N176" s="196"/>
      <c r="O176" s="196"/>
      <c r="P176" s="196"/>
      <c r="Q176" s="196"/>
      <c r="R176" s="196"/>
      <c r="S176" s="196"/>
      <c r="T176" s="196"/>
      <c r="U176" s="196"/>
      <c r="V176" s="162"/>
      <c r="W176" s="168"/>
      <c r="X176" s="147"/>
      <c r="Y176" s="168"/>
      <c r="Z176" s="168"/>
      <c r="AA176" s="168"/>
      <c r="AB176" s="168"/>
      <c r="AC176" s="168"/>
      <c r="AD176" s="168"/>
      <c r="AE176" s="168"/>
      <c r="AF176" s="168"/>
      <c r="AG176" s="168"/>
      <c r="AH176" s="168"/>
      <c r="AI176" s="168"/>
      <c r="AJ176" s="151"/>
      <c r="AK176" s="168"/>
      <c r="AL176" s="168"/>
      <c r="AM176" s="168"/>
      <c r="AN176" s="151"/>
      <c r="AO176" s="168"/>
      <c r="AP176" s="168"/>
      <c r="AQ176" s="168"/>
      <c r="AR176" s="168"/>
      <c r="AS176" s="168"/>
      <c r="AT176" s="168"/>
      <c r="AU176" s="168"/>
      <c r="AV176" s="168"/>
      <c r="AW176" s="168"/>
      <c r="AX176" s="168"/>
      <c r="AY176" s="168"/>
      <c r="AZ176" s="168"/>
      <c r="BA176" s="168"/>
      <c r="BB176" s="168"/>
      <c r="BC176" s="168"/>
      <c r="BD176" s="168"/>
      <c r="BE176" s="168"/>
      <c r="BF176" s="168"/>
      <c r="BG176" s="168"/>
      <c r="BH176" s="168"/>
      <c r="BI176" s="168"/>
      <c r="BJ176" s="168"/>
      <c r="BK176" s="168"/>
      <c r="BL176" s="168"/>
      <c r="BM176" s="168"/>
      <c r="BN176" s="168"/>
    </row>
    <row r="177" spans="1:66" s="77" customFormat="1" ht="15" thickBot="1" x14ac:dyDescent="0.4">
      <c r="A177" s="179"/>
      <c r="B177" s="212"/>
      <c r="C177" s="179"/>
      <c r="D177" s="179"/>
      <c r="E177" s="179"/>
      <c r="F177" s="179"/>
      <c r="G177" s="179"/>
      <c r="H177" s="212"/>
      <c r="I177" s="179"/>
      <c r="J177" s="179"/>
      <c r="K177" s="179"/>
      <c r="L177" s="179"/>
      <c r="M177" s="212"/>
      <c r="N177" s="179"/>
      <c r="O177" s="179"/>
      <c r="P177" s="179"/>
      <c r="Q177" s="179"/>
      <c r="R177" s="179"/>
      <c r="S177" s="179"/>
      <c r="T177" s="179"/>
      <c r="U177" s="179"/>
      <c r="V177" s="163"/>
      <c r="W177" s="168"/>
      <c r="X177" s="147"/>
      <c r="Y177" s="168"/>
      <c r="Z177" s="168"/>
      <c r="AA177" s="168"/>
      <c r="AB177" s="168"/>
      <c r="AC177" s="168"/>
      <c r="AD177" s="168"/>
      <c r="AE177" s="168"/>
      <c r="AF177" s="168"/>
      <c r="AG177" s="168"/>
      <c r="AH177" s="168"/>
      <c r="AI177" s="168"/>
      <c r="AJ177" s="151"/>
      <c r="AK177" s="168"/>
      <c r="AL177" s="168"/>
      <c r="AM177" s="168"/>
      <c r="AN177" s="151"/>
      <c r="AO177" s="168"/>
      <c r="AP177" s="168"/>
      <c r="AQ177" s="168"/>
      <c r="AR177" s="168"/>
      <c r="AS177" s="168"/>
      <c r="AT177" s="168"/>
      <c r="AU177" s="168"/>
      <c r="AV177" s="168"/>
      <c r="AW177" s="168"/>
      <c r="AX177" s="168"/>
      <c r="AY177" s="168"/>
      <c r="AZ177" s="168"/>
      <c r="BA177" s="168"/>
      <c r="BB177" s="168"/>
      <c r="BC177" s="168"/>
      <c r="BD177" s="168"/>
      <c r="BE177" s="168"/>
      <c r="BF177" s="168"/>
      <c r="BG177" s="168"/>
      <c r="BH177" s="168"/>
      <c r="BI177" s="168"/>
      <c r="BJ177" s="168"/>
      <c r="BK177" s="168"/>
      <c r="BL177" s="168"/>
      <c r="BM177" s="168"/>
      <c r="BN177" s="168"/>
    </row>
    <row r="178" spans="1:66" s="77" customFormat="1" x14ac:dyDescent="0.35">
      <c r="A178" s="203" t="s">
        <v>56</v>
      </c>
      <c r="B178" s="213"/>
      <c r="C178" s="196"/>
      <c r="D178" s="196"/>
      <c r="E178" s="196"/>
      <c r="F178" s="196"/>
      <c r="G178" s="196"/>
      <c r="H178" s="213"/>
      <c r="I178" s="196"/>
      <c r="J178" s="196"/>
      <c r="K178" s="196"/>
      <c r="L178" s="196"/>
      <c r="M178" s="213"/>
      <c r="N178" s="196"/>
      <c r="O178" s="196"/>
      <c r="P178" s="196"/>
      <c r="Q178" s="196"/>
      <c r="R178" s="196"/>
      <c r="S178" s="196"/>
      <c r="T178" s="196"/>
      <c r="U178" s="196"/>
      <c r="V178" s="162"/>
      <c r="W178" s="168"/>
      <c r="X178" s="147"/>
      <c r="Y178" s="168"/>
      <c r="Z178" s="168"/>
      <c r="AA178" s="168"/>
      <c r="AB178" s="168"/>
      <c r="AC178" s="168"/>
      <c r="AD178" s="168"/>
      <c r="AE178" s="168"/>
      <c r="AF178" s="168"/>
      <c r="AG178" s="168"/>
      <c r="AH178" s="168"/>
      <c r="AI178" s="168"/>
      <c r="AJ178" s="151"/>
      <c r="AK178" s="168"/>
      <c r="AL178" s="168"/>
      <c r="AM178" s="168"/>
      <c r="AN178" s="151"/>
      <c r="AO178" s="168"/>
      <c r="AP178" s="168"/>
      <c r="AQ178" s="168"/>
      <c r="AR178" s="168"/>
      <c r="AS178" s="168"/>
      <c r="AT178" s="168"/>
      <c r="AU178" s="168"/>
      <c r="AV178" s="168"/>
      <c r="AW178" s="168"/>
      <c r="AX178" s="168"/>
      <c r="AY178" s="168"/>
      <c r="AZ178" s="168"/>
      <c r="BA178" s="168"/>
      <c r="BB178" s="168"/>
      <c r="BC178" s="168"/>
      <c r="BD178" s="168"/>
      <c r="BE178" s="168"/>
      <c r="BF178" s="168"/>
      <c r="BG178" s="168"/>
      <c r="BH178" s="168"/>
      <c r="BI178" s="168"/>
      <c r="BJ178" s="168"/>
      <c r="BK178" s="168"/>
      <c r="BL178" s="168"/>
      <c r="BM178" s="168"/>
      <c r="BN178" s="168"/>
    </row>
    <row r="179" spans="1:66" s="79" customFormat="1" ht="15" thickBot="1" x14ac:dyDescent="0.4">
      <c r="A179" s="193" t="s">
        <v>63</v>
      </c>
      <c r="B179" s="214"/>
      <c r="C179" s="194"/>
      <c r="D179" s="194"/>
      <c r="E179" s="194"/>
      <c r="F179" s="194"/>
      <c r="G179" s="194"/>
      <c r="H179" s="214"/>
      <c r="I179" s="194"/>
      <c r="J179" s="194"/>
      <c r="K179" s="194"/>
      <c r="L179" s="194"/>
      <c r="M179" s="214"/>
      <c r="N179" s="194"/>
      <c r="O179" s="194"/>
      <c r="P179" s="194"/>
      <c r="Q179" s="194"/>
      <c r="R179" s="194"/>
      <c r="S179" s="194"/>
      <c r="T179" s="194"/>
      <c r="U179" s="194"/>
      <c r="V179" s="164"/>
      <c r="W179" s="168"/>
      <c r="X179" s="147"/>
      <c r="Y179" s="168"/>
      <c r="Z179" s="168"/>
      <c r="AA179" s="168"/>
      <c r="AB179" s="168"/>
      <c r="AC179" s="168"/>
      <c r="AD179" s="168"/>
      <c r="AE179" s="168"/>
      <c r="AF179" s="168"/>
      <c r="AG179" s="168"/>
      <c r="AH179" s="168"/>
      <c r="AI179" s="168"/>
      <c r="AJ179" s="151"/>
      <c r="AK179" s="168"/>
      <c r="AL179" s="168"/>
      <c r="AM179" s="168"/>
      <c r="AN179" s="151"/>
      <c r="AO179" s="168"/>
      <c r="AP179" s="168"/>
      <c r="AQ179" s="168"/>
      <c r="AR179" s="168"/>
      <c r="AS179" s="168"/>
      <c r="AT179" s="168"/>
      <c r="AU179" s="168"/>
      <c r="AV179" s="168"/>
      <c r="AW179" s="168"/>
      <c r="AX179" s="168"/>
      <c r="AY179" s="168"/>
      <c r="AZ179" s="168"/>
      <c r="BA179" s="168"/>
      <c r="BB179" s="168"/>
      <c r="BC179" s="168"/>
      <c r="BD179" s="168"/>
      <c r="BE179" s="168"/>
      <c r="BF179" s="168"/>
      <c r="BG179" s="168"/>
      <c r="BH179" s="168"/>
      <c r="BI179" s="168"/>
      <c r="BJ179" s="168"/>
      <c r="BK179" s="168"/>
      <c r="BL179" s="168"/>
      <c r="BM179" s="168"/>
      <c r="BN179" s="168"/>
    </row>
    <row r="180" spans="1:66" x14ac:dyDescent="0.35">
      <c r="A180" s="193" t="s">
        <v>64</v>
      </c>
      <c r="B180" s="215"/>
      <c r="C180" s="195"/>
      <c r="D180" s="195"/>
      <c r="E180" s="195"/>
      <c r="F180" s="195"/>
      <c r="G180" s="195"/>
      <c r="H180" s="215"/>
      <c r="I180" s="195"/>
      <c r="J180" s="195"/>
      <c r="K180" s="195"/>
      <c r="L180" s="195"/>
      <c r="M180" s="215"/>
      <c r="N180" s="195"/>
      <c r="O180" s="195"/>
      <c r="P180" s="195"/>
      <c r="Q180" s="195"/>
      <c r="R180" s="195"/>
      <c r="S180" s="195"/>
      <c r="T180" s="195"/>
      <c r="U180" s="195"/>
      <c r="V180" s="159"/>
      <c r="W180" s="168"/>
    </row>
    <row r="181" spans="1:66" x14ac:dyDescent="0.35">
      <c r="A181" s="193"/>
      <c r="B181" s="213"/>
      <c r="C181" s="196"/>
      <c r="D181" s="194"/>
      <c r="E181" s="194"/>
      <c r="F181" s="194"/>
      <c r="G181" s="194"/>
      <c r="H181" s="214"/>
      <c r="I181" s="194"/>
      <c r="J181" s="194"/>
      <c r="K181" s="194"/>
      <c r="L181" s="194"/>
      <c r="M181" s="214"/>
      <c r="N181" s="194"/>
      <c r="O181" s="194"/>
      <c r="P181" s="194"/>
      <c r="Q181" s="194"/>
      <c r="R181" s="194"/>
      <c r="S181" s="194"/>
      <c r="T181" s="194"/>
      <c r="U181" s="194"/>
    </row>
    <row r="182" spans="1:66" ht="15" thickBot="1" x14ac:dyDescent="0.4">
      <c r="A182" s="197"/>
      <c r="B182" s="216"/>
      <c r="C182" s="198"/>
      <c r="D182" s="198"/>
      <c r="E182" s="198"/>
      <c r="F182" s="198"/>
      <c r="G182" s="198"/>
      <c r="H182" s="216"/>
      <c r="I182" s="198"/>
      <c r="J182" s="198"/>
      <c r="K182" s="198"/>
      <c r="L182" s="198"/>
      <c r="M182" s="216"/>
      <c r="N182" s="198"/>
      <c r="O182" s="198"/>
      <c r="P182" s="198"/>
      <c r="Q182" s="198"/>
      <c r="R182" s="198"/>
      <c r="S182" s="198"/>
      <c r="T182" s="198"/>
      <c r="U182" s="198"/>
    </row>
    <row r="183" spans="1:66" x14ac:dyDescent="0.35">
      <c r="A183" s="179"/>
      <c r="B183" s="212"/>
      <c r="C183" s="179"/>
      <c r="D183" s="179"/>
      <c r="E183" s="179"/>
      <c r="F183" s="179"/>
      <c r="G183" s="179"/>
      <c r="H183" s="212"/>
      <c r="I183" s="179"/>
      <c r="J183" s="179"/>
      <c r="K183" s="179"/>
      <c r="L183" s="179"/>
      <c r="M183" s="212"/>
      <c r="N183" s="179"/>
      <c r="O183" s="179"/>
      <c r="P183" s="179"/>
      <c r="Q183" s="179"/>
      <c r="R183" s="179"/>
      <c r="S183" s="179"/>
      <c r="T183" s="179"/>
      <c r="U183" s="179"/>
    </row>
  </sheetData>
  <sheetProtection password="C9FD" sheet="1" objects="1" scenarios="1"/>
  <mergeCells count="6">
    <mergeCell ref="AK14:AM14"/>
    <mergeCell ref="X25:AI26"/>
    <mergeCell ref="AK25:AM26"/>
    <mergeCell ref="AO25:AQ26"/>
    <mergeCell ref="AO14:AR14"/>
    <mergeCell ref="AG14:AI14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X178"/>
  <sheetViews>
    <sheetView zoomScale="115" zoomScaleNormal="115" workbookViewId="0">
      <selection activeCell="H2" sqref="H2"/>
    </sheetView>
  </sheetViews>
  <sheetFormatPr defaultRowHeight="14.5" x14ac:dyDescent="0.35"/>
  <cols>
    <col min="1" max="1" width="29" style="179" customWidth="1"/>
    <col min="2" max="2" width="13.81640625" style="212" bestFit="1" customWidth="1"/>
    <col min="3" max="7" width="13.81640625" style="179" bestFit="1" customWidth="1"/>
    <col min="8" max="8" width="13.81640625" style="212" bestFit="1" customWidth="1"/>
    <col min="9" max="12" width="13.81640625" style="179" bestFit="1" customWidth="1"/>
    <col min="13" max="13" width="13.81640625" style="212" bestFit="1" customWidth="1"/>
    <col min="14" max="20" width="13.81640625" style="179" bestFit="1" customWidth="1"/>
    <col min="21" max="21" width="15.81640625" style="179" bestFit="1" customWidth="1"/>
    <col min="22" max="22" width="9.1796875" style="81"/>
    <col min="23" max="23" width="9.1796875" style="148"/>
    <col min="24" max="24" width="18.453125" style="147" customWidth="1"/>
    <col min="25" max="29" width="0" style="148" hidden="1" customWidth="1"/>
    <col min="30" max="32" width="9.1796875" style="148" hidden="1" customWidth="1"/>
    <col min="33" max="33" width="31.26953125" style="148" customWidth="1"/>
    <col min="34" max="34" width="27.26953125" style="148" customWidth="1"/>
    <col min="35" max="35" width="18.54296875" style="148" customWidth="1"/>
    <col min="36" max="36" width="5.7265625" style="151" customWidth="1"/>
    <col min="37" max="37" width="25.54296875" style="148" customWidth="1"/>
    <col min="38" max="38" width="22.26953125" style="148" customWidth="1"/>
    <col min="39" max="39" width="24.54296875" style="148" customWidth="1"/>
    <col min="40" max="40" width="5" style="151" customWidth="1"/>
    <col min="41" max="41" width="29.26953125" style="148" customWidth="1"/>
    <col min="42" max="42" width="33" style="148" customWidth="1"/>
    <col min="43" max="43" width="23.7265625" style="148" customWidth="1"/>
    <col min="44" max="44" width="17.26953125" style="148" customWidth="1"/>
    <col min="45" max="76" width="9.1796875" style="148"/>
  </cols>
  <sheetData>
    <row r="1" spans="1:76" ht="18.5" x14ac:dyDescent="0.45">
      <c r="A1" s="178" t="s">
        <v>62</v>
      </c>
      <c r="B1" s="208"/>
      <c r="C1" s="178"/>
      <c r="D1" s="178"/>
      <c r="E1" s="178"/>
      <c r="F1" s="178"/>
      <c r="G1" s="178"/>
      <c r="H1" s="208"/>
    </row>
    <row r="5" spans="1:76" x14ac:dyDescent="0.35">
      <c r="A5" s="180" t="s">
        <v>0</v>
      </c>
      <c r="B5" s="209" t="s">
        <v>1</v>
      </c>
      <c r="C5" s="181" t="s">
        <v>2</v>
      </c>
      <c r="D5" s="182" t="s">
        <v>3</v>
      </c>
      <c r="E5" s="182" t="s">
        <v>4</v>
      </c>
      <c r="F5" s="182" t="s">
        <v>5</v>
      </c>
      <c r="G5" s="182" t="s">
        <v>6</v>
      </c>
      <c r="H5" s="209" t="s">
        <v>7</v>
      </c>
      <c r="I5" s="182" t="s">
        <v>8</v>
      </c>
      <c r="J5" s="182" t="s">
        <v>9</v>
      </c>
      <c r="K5" s="182" t="s">
        <v>10</v>
      </c>
      <c r="L5" s="182" t="s">
        <v>11</v>
      </c>
      <c r="M5" s="209" t="s">
        <v>12</v>
      </c>
      <c r="N5" s="182" t="s">
        <v>13</v>
      </c>
      <c r="O5" s="182" t="s">
        <v>14</v>
      </c>
      <c r="P5" s="182" t="s">
        <v>15</v>
      </c>
      <c r="Q5" s="182" t="s">
        <v>16</v>
      </c>
      <c r="R5" s="183" t="s">
        <v>17</v>
      </c>
      <c r="S5" s="184" t="s">
        <v>23</v>
      </c>
      <c r="T5" s="184" t="s">
        <v>24</v>
      </c>
      <c r="U5" s="185" t="s">
        <v>18</v>
      </c>
    </row>
    <row r="6" spans="1:76" s="143" customFormat="1" x14ac:dyDescent="0.35">
      <c r="A6" s="154" t="s">
        <v>25</v>
      </c>
      <c r="B6" s="221">
        <v>726</v>
      </c>
      <c r="C6" s="186">
        <v>726</v>
      </c>
      <c r="D6" s="186">
        <v>726</v>
      </c>
      <c r="E6" s="186">
        <v>726</v>
      </c>
      <c r="F6" s="186">
        <v>726</v>
      </c>
      <c r="G6" s="186">
        <v>726</v>
      </c>
      <c r="H6" s="210">
        <v>726</v>
      </c>
      <c r="I6" s="186">
        <v>726</v>
      </c>
      <c r="J6" s="186">
        <v>726</v>
      </c>
      <c r="K6" s="186">
        <v>726</v>
      </c>
      <c r="L6" s="186">
        <v>726</v>
      </c>
      <c r="M6" s="210">
        <v>726</v>
      </c>
      <c r="N6" s="186">
        <v>726</v>
      </c>
      <c r="O6" s="186">
        <v>726</v>
      </c>
      <c r="P6" s="186">
        <v>726</v>
      </c>
      <c r="Q6" s="186">
        <v>726</v>
      </c>
      <c r="R6" s="186">
        <v>726</v>
      </c>
      <c r="S6" s="186">
        <v>726</v>
      </c>
      <c r="T6" s="186">
        <v>726</v>
      </c>
      <c r="U6" s="186">
        <v>13800</v>
      </c>
      <c r="V6" s="82"/>
      <c r="W6" s="149"/>
      <c r="X6" s="170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50"/>
      <c r="AK6" s="149"/>
      <c r="AL6" s="149"/>
      <c r="AM6" s="149"/>
      <c r="AN6" s="150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</row>
    <row r="7" spans="1:76" x14ac:dyDescent="0.35">
      <c r="A7" s="187" t="s">
        <v>20</v>
      </c>
      <c r="B7" s="210">
        <v>154.22553087625062</v>
      </c>
      <c r="C7" s="188">
        <v>154.22553087625062</v>
      </c>
      <c r="D7" s="188">
        <v>154.22553087625062</v>
      </c>
      <c r="E7" s="188">
        <v>154.22553087625062</v>
      </c>
      <c r="F7" s="188">
        <v>154.22553087625062</v>
      </c>
      <c r="G7" s="188">
        <v>154.22553087625062</v>
      </c>
      <c r="H7" s="210">
        <v>154.22553087625062</v>
      </c>
      <c r="I7" s="188">
        <v>154.22553087625062</v>
      </c>
      <c r="J7" s="188">
        <v>154.22553087625062</v>
      </c>
      <c r="K7" s="188">
        <v>154.22553087625062</v>
      </c>
      <c r="L7" s="188">
        <v>154.22553087625062</v>
      </c>
      <c r="M7" s="210">
        <v>154.22553087625062</v>
      </c>
      <c r="N7" s="188">
        <v>154.22553087625062</v>
      </c>
      <c r="O7" s="188">
        <v>154.22553087625062</v>
      </c>
      <c r="P7" s="188">
        <v>154.22553087625062</v>
      </c>
      <c r="Q7" s="188">
        <v>154.22553087625062</v>
      </c>
      <c r="R7" s="188">
        <v>154.22553087625062</v>
      </c>
      <c r="S7" s="188">
        <v>154.22553087625062</v>
      </c>
      <c r="T7" s="188">
        <v>154.22553087625062</v>
      </c>
      <c r="U7" s="188">
        <v>2931.559677813028</v>
      </c>
    </row>
    <row r="8" spans="1:76" x14ac:dyDescent="0.35">
      <c r="A8" s="187" t="s">
        <v>21</v>
      </c>
      <c r="B8" s="210">
        <v>196.69514278740564</v>
      </c>
      <c r="C8" s="188">
        <v>196.69514278740564</v>
      </c>
      <c r="D8" s="188">
        <v>196.69514278740564</v>
      </c>
      <c r="E8" s="188">
        <v>196.69514278740564</v>
      </c>
      <c r="F8" s="188">
        <v>196.69514278740564</v>
      </c>
      <c r="G8" s="188">
        <v>196.69514278740564</v>
      </c>
      <c r="H8" s="210">
        <v>196.69514278740564</v>
      </c>
      <c r="I8" s="188">
        <v>196.69514278740564</v>
      </c>
      <c r="J8" s="188">
        <v>196.69514278740564</v>
      </c>
      <c r="K8" s="188">
        <v>196.69514278740564</v>
      </c>
      <c r="L8" s="188">
        <v>196.69514278740564</v>
      </c>
      <c r="M8" s="210">
        <v>196.69514278740564</v>
      </c>
      <c r="N8" s="188">
        <v>196.69514278740564</v>
      </c>
      <c r="O8" s="188">
        <v>196.69514278740564</v>
      </c>
      <c r="P8" s="188">
        <v>196.69514278740564</v>
      </c>
      <c r="Q8" s="188">
        <v>196.69514278740564</v>
      </c>
      <c r="R8" s="188">
        <v>196.69514278740564</v>
      </c>
      <c r="S8" s="188">
        <v>196.69514278740564</v>
      </c>
      <c r="T8" s="188">
        <v>196.69514278740564</v>
      </c>
      <c r="U8" s="188">
        <v>3738.8332926531652</v>
      </c>
    </row>
    <row r="9" spans="1:76" x14ac:dyDescent="0.35">
      <c r="A9" s="187" t="s">
        <v>26</v>
      </c>
      <c r="B9" s="211">
        <v>270.64779106663434</v>
      </c>
      <c r="C9" s="189">
        <v>270.64779106663434</v>
      </c>
      <c r="D9" s="189">
        <v>270.64779106663434</v>
      </c>
      <c r="E9" s="189">
        <v>270.64779106663434</v>
      </c>
      <c r="F9" s="189">
        <v>270.64779106663434</v>
      </c>
      <c r="G9" s="189">
        <v>270.64779106663434</v>
      </c>
      <c r="H9" s="211">
        <v>270.64779106663434</v>
      </c>
      <c r="I9" s="189">
        <v>270.64779106663434</v>
      </c>
      <c r="J9" s="189">
        <v>270.64779106663434</v>
      </c>
      <c r="K9" s="189">
        <v>270.64779106663434</v>
      </c>
      <c r="L9" s="189">
        <v>270.64779106663434</v>
      </c>
      <c r="M9" s="211">
        <v>270.64779106663434</v>
      </c>
      <c r="N9" s="189">
        <v>270.64779106663434</v>
      </c>
      <c r="O9" s="189">
        <v>270.64779106663434</v>
      </c>
      <c r="P9" s="189">
        <v>270.64779106663434</v>
      </c>
      <c r="Q9" s="189">
        <v>270.64779106663434</v>
      </c>
      <c r="R9" s="189">
        <v>270.64779106663434</v>
      </c>
      <c r="S9" s="189">
        <v>270.64779106663434</v>
      </c>
      <c r="T9" s="189">
        <v>270.64779106663434</v>
      </c>
      <c r="U9" s="189">
        <v>5144.5447888699091</v>
      </c>
    </row>
    <row r="10" spans="1:76" s="80" customFormat="1" x14ac:dyDescent="0.35">
      <c r="A10" s="190" t="s">
        <v>22</v>
      </c>
      <c r="B10" s="210">
        <v>104.49060288014964</v>
      </c>
      <c r="C10" s="188">
        <v>104.49060288014964</v>
      </c>
      <c r="D10" s="188">
        <v>104.49060288014964</v>
      </c>
      <c r="E10" s="188">
        <v>104.49060288014964</v>
      </c>
      <c r="F10" s="188">
        <v>104.49060288014964</v>
      </c>
      <c r="G10" s="188">
        <v>104.49060288014964</v>
      </c>
      <c r="H10" s="210">
        <v>104.49060288014964</v>
      </c>
      <c r="I10" s="188">
        <v>104.49060288014964</v>
      </c>
      <c r="J10" s="188">
        <v>104.49060288014964</v>
      </c>
      <c r="K10" s="188">
        <v>104.49060288014964</v>
      </c>
      <c r="L10" s="188">
        <v>104.49060288014964</v>
      </c>
      <c r="M10" s="210">
        <v>104.49060288014964</v>
      </c>
      <c r="N10" s="188">
        <v>104.49060288014964</v>
      </c>
      <c r="O10" s="188">
        <v>104.49060288014964</v>
      </c>
      <c r="P10" s="188">
        <v>104.49060288014964</v>
      </c>
      <c r="Q10" s="188">
        <v>104.49060288014964</v>
      </c>
      <c r="R10" s="188">
        <v>104.49060288014964</v>
      </c>
      <c r="S10" s="188">
        <v>104.49060288014964</v>
      </c>
      <c r="T10" s="188">
        <v>104.49060288014964</v>
      </c>
      <c r="U10" s="188">
        <v>1986.1850134243318</v>
      </c>
      <c r="V10" s="146"/>
      <c r="W10" s="148"/>
      <c r="X10" s="147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51"/>
      <c r="AK10" s="148"/>
      <c r="AL10" s="148"/>
      <c r="AM10" s="148"/>
      <c r="AN10" s="151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</row>
    <row r="11" spans="1:76" ht="15" thickBot="1" x14ac:dyDescent="0.4"/>
    <row r="12" spans="1:76" s="144" customFormat="1" x14ac:dyDescent="0.35">
      <c r="A12" s="191" t="s">
        <v>55</v>
      </c>
      <c r="B12" s="213"/>
      <c r="C12" s="192"/>
      <c r="D12" s="192"/>
      <c r="E12" s="192"/>
      <c r="F12" s="192"/>
      <c r="G12" s="192"/>
      <c r="H12" s="213"/>
      <c r="I12" s="192"/>
      <c r="J12" s="192"/>
      <c r="K12" s="192"/>
      <c r="L12" s="192"/>
      <c r="M12" s="213"/>
      <c r="N12" s="192"/>
      <c r="O12" s="192"/>
      <c r="P12" s="192"/>
      <c r="Q12" s="192"/>
      <c r="R12" s="192"/>
      <c r="S12" s="192"/>
      <c r="T12" s="192"/>
      <c r="U12" s="192"/>
      <c r="W12" s="148"/>
      <c r="X12" s="147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51"/>
      <c r="AK12" s="148"/>
      <c r="AL12" s="148"/>
      <c r="AM12" s="148"/>
      <c r="AN12" s="151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</row>
    <row r="13" spans="1:76" s="77" customFormat="1" x14ac:dyDescent="0.35">
      <c r="A13" s="193" t="s">
        <v>63</v>
      </c>
      <c r="B13" s="214">
        <f>(B7*$AG$27)+('reference data- 2'!B8*$AG$28)+('reference data- 2'!B9*$AG$29)+('reference data- 2'!B10*$AG$30)*30</f>
        <v>2805104.7409583181</v>
      </c>
      <c r="C13" s="214">
        <f>(C7*$AG$27)+('reference data- 2'!C8*$AG$28)+('reference data- 2'!C9*$AG$29)+('reference data- 2'!C10*$AG$30)*30</f>
        <v>2805104.7409583181</v>
      </c>
      <c r="D13" s="214">
        <f>(D7*$AG$27)+('reference data- 2'!D8*$AG$28)+('reference data- 2'!D9*$AG$29)+('reference data- 2'!D10*$AG$30)*30</f>
        <v>2805104.7409583181</v>
      </c>
      <c r="E13" s="214">
        <f>(E7*$AG$27)+('reference data- 2'!E8*$AG$28)+('reference data- 2'!E9*$AG$29)+('reference data- 2'!E10*$AG$30)*30</f>
        <v>2805104.7409583181</v>
      </c>
      <c r="F13" s="214">
        <f>(F7*$AG$27)+('reference data- 2'!F8*$AG$28)+('reference data- 2'!F9*$AG$29)+('reference data- 2'!F10*$AG$30)*30</f>
        <v>2805104.7409583181</v>
      </c>
      <c r="G13" s="214">
        <f>(G7*$AG$27)+('reference data- 2'!G8*$AG$28)+('reference data- 2'!G9*$AG$29)+('reference data- 2'!G10*$AG$30)*30</f>
        <v>2805104.7409583181</v>
      </c>
      <c r="H13" s="214">
        <f>(B7*$AK$27)+('reference data- 2'!B8*$AK$28)+('reference data- 2'!B9*$AK$29)+('reference data- 2'!B10*$AK$30)*30</f>
        <v>2793150.334624758</v>
      </c>
      <c r="I13" s="214">
        <f>(C7*$AK$27)+('reference data- 2'!C8*$AK$28)+('reference data- 2'!C9*$AK$29)+('reference data- 2'!C10*$AK$30)*30</f>
        <v>2793150.334624758</v>
      </c>
      <c r="J13" s="214">
        <f>(D7*$AK$27)+('reference data- 2'!D8*$AK$28)+('reference data- 2'!D9*$AK$29)+('reference data- 2'!D10*$AK$30)*30</f>
        <v>2793150.334624758</v>
      </c>
      <c r="K13" s="214">
        <f>(E7*$AK$27)+('reference data- 2'!E8*$AK$28)+('reference data- 2'!E9*$AK$29)+('reference data- 2'!E10*$AK$30)*30</f>
        <v>2793150.334624758</v>
      </c>
      <c r="L13" s="214">
        <f>(F7*$AK$27)+('reference data- 2'!F8*$AK$28)+('reference data- 2'!F9*$AK$29)+('reference data- 2'!F10*$AK$30)*30</f>
        <v>2793150.334624758</v>
      </c>
      <c r="M13" s="214">
        <f>(B7*$AO$27)+('reference data- 2'!B8*$AO$28)+('reference data- 2'!B9*$AO$29)+('reference data- 2'!B10*$AO$30)*30</f>
        <v>2755113.5871997932</v>
      </c>
      <c r="N13" s="214">
        <f>(C7*$AO$27)+('reference data- 2'!C8*$AO$28)+('reference data- 2'!C9*$AO$29)+('reference data- 2'!C10*$AO$30)*30</f>
        <v>2755113.5871997932</v>
      </c>
      <c r="O13" s="214">
        <f>(D7*$AO$27)+('reference data- 2'!D8*$AO$28)+('reference data- 2'!D9*$AO$29)+('reference data- 2'!D10*$AO$30)*30</f>
        <v>2755113.5871997932</v>
      </c>
      <c r="P13" s="214">
        <f>(E7*$AO$27)+('reference data- 2'!E8*$AO$28)+('reference data- 2'!E9*$AO$29)+('reference data- 2'!E10*$AO$30)*30</f>
        <v>2755113.5871997932</v>
      </c>
      <c r="Q13" s="214">
        <f>(F7*$AO$27)+('reference data- 2'!F8*$AO$28)+('reference data- 2'!F9*$AO$29)+('reference data- 2'!F10*$AO$30)*30</f>
        <v>2755113.5871997932</v>
      </c>
      <c r="R13" s="214">
        <f>(G7*$AO$27)+('reference data- 2'!G8*$AO$28)+('reference data- 2'!G9*$AO$29)+('reference data- 2'!G10*$AO$30)*30</f>
        <v>2755113.5871997932</v>
      </c>
      <c r="S13" s="214">
        <f>(H7*$AO$27)+('reference data- 2'!H8*$AO$28)+('reference data- 2'!H9*$AO$29)+('reference data- 2'!H10*$AO$30)*30</f>
        <v>2755113.5871997932</v>
      </c>
      <c r="T13" s="214">
        <f>(I7*$AO$27)+('reference data- 2'!I8*$AO$28)+('reference data- 2'!I9*$AO$29)+('reference data- 2'!I10*$AO$30)*30</f>
        <v>2755113.5871997932</v>
      </c>
      <c r="U13" s="194">
        <f>SUM(B13:T13)</f>
        <v>52837288.816472046</v>
      </c>
      <c r="V13" s="85"/>
      <c r="W13" s="148"/>
      <c r="X13" s="147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51"/>
      <c r="AK13" s="148"/>
      <c r="AL13" s="148"/>
      <c r="AM13" s="148"/>
      <c r="AN13" s="151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</row>
    <row r="14" spans="1:76" s="77" customFormat="1" x14ac:dyDescent="0.35">
      <c r="A14" s="193" t="s">
        <v>64</v>
      </c>
      <c r="B14" s="215">
        <f>B13*144</f>
        <v>403935082.69799781</v>
      </c>
      <c r="C14" s="215">
        <f t="shared" ref="C14:U14" si="0">C13*144</f>
        <v>403935082.69799781</v>
      </c>
      <c r="D14" s="215">
        <f t="shared" si="0"/>
        <v>403935082.69799781</v>
      </c>
      <c r="E14" s="215">
        <f t="shared" si="0"/>
        <v>403935082.69799781</v>
      </c>
      <c r="F14" s="215">
        <f t="shared" si="0"/>
        <v>403935082.69799781</v>
      </c>
      <c r="G14" s="215">
        <f t="shared" si="0"/>
        <v>403935082.69799781</v>
      </c>
      <c r="H14" s="215">
        <f t="shared" si="0"/>
        <v>402213648.18596518</v>
      </c>
      <c r="I14" s="215">
        <f t="shared" si="0"/>
        <v>402213648.18596518</v>
      </c>
      <c r="J14" s="215">
        <f t="shared" si="0"/>
        <v>402213648.18596518</v>
      </c>
      <c r="K14" s="215">
        <f t="shared" si="0"/>
        <v>402213648.18596518</v>
      </c>
      <c r="L14" s="215">
        <f t="shared" si="0"/>
        <v>402213648.18596518</v>
      </c>
      <c r="M14" s="215">
        <f t="shared" si="0"/>
        <v>396736356.55677021</v>
      </c>
      <c r="N14" s="215">
        <f t="shared" si="0"/>
        <v>396736356.55677021</v>
      </c>
      <c r="O14" s="215">
        <f t="shared" si="0"/>
        <v>396736356.55677021</v>
      </c>
      <c r="P14" s="215">
        <f t="shared" si="0"/>
        <v>396736356.55677021</v>
      </c>
      <c r="Q14" s="215">
        <f t="shared" si="0"/>
        <v>396736356.55677021</v>
      </c>
      <c r="R14" s="215">
        <f t="shared" si="0"/>
        <v>396736356.55677021</v>
      </c>
      <c r="S14" s="215">
        <f t="shared" si="0"/>
        <v>396736356.55677021</v>
      </c>
      <c r="T14" s="215">
        <f t="shared" si="0"/>
        <v>396736356.55677021</v>
      </c>
      <c r="U14" s="215">
        <f t="shared" si="0"/>
        <v>7608569589.5719748</v>
      </c>
      <c r="V14" s="86"/>
      <c r="W14" s="148"/>
      <c r="X14" s="147"/>
      <c r="Y14" s="148"/>
      <c r="Z14" s="148"/>
      <c r="AA14" s="148"/>
      <c r="AB14" s="148"/>
      <c r="AC14" s="148"/>
      <c r="AD14" s="148"/>
      <c r="AE14" s="148"/>
      <c r="AF14" s="148"/>
      <c r="AG14" s="342" t="s">
        <v>58</v>
      </c>
      <c r="AH14" s="342"/>
      <c r="AI14" s="342"/>
      <c r="AJ14" s="150"/>
      <c r="AK14" s="343" t="s">
        <v>59</v>
      </c>
      <c r="AL14" s="343"/>
      <c r="AM14" s="343"/>
      <c r="AN14" s="150"/>
      <c r="AO14" s="342" t="s">
        <v>106</v>
      </c>
      <c r="AP14" s="342"/>
      <c r="AQ14" s="342"/>
      <c r="AR14" s="342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</row>
    <row r="15" spans="1:76" s="77" customFormat="1" x14ac:dyDescent="0.35">
      <c r="A15" s="193"/>
      <c r="B15" s="213"/>
      <c r="C15" s="196"/>
      <c r="D15" s="194"/>
      <c r="E15" s="194"/>
      <c r="F15" s="194"/>
      <c r="G15" s="194"/>
      <c r="H15" s="214"/>
      <c r="I15" s="194"/>
      <c r="J15" s="194"/>
      <c r="K15" s="194"/>
      <c r="L15" s="194"/>
      <c r="M15" s="214"/>
      <c r="N15" s="194"/>
      <c r="O15" s="194"/>
      <c r="P15" s="194"/>
      <c r="Q15" s="194"/>
      <c r="R15" s="194"/>
      <c r="S15" s="194"/>
      <c r="T15" s="194"/>
      <c r="U15" s="194"/>
      <c r="V15" s="85"/>
      <c r="W15" s="148"/>
      <c r="X15" s="147"/>
      <c r="Y15" s="148" t="s">
        <v>79</v>
      </c>
      <c r="Z15" s="148"/>
      <c r="AA15" s="148" t="s">
        <v>78</v>
      </c>
      <c r="AB15" s="148"/>
      <c r="AC15" s="148"/>
      <c r="AD15" s="148"/>
      <c r="AE15" s="148"/>
      <c r="AF15" s="148"/>
      <c r="AG15" s="176" t="s">
        <v>77</v>
      </c>
      <c r="AH15" s="176" t="s">
        <v>76</v>
      </c>
      <c r="AI15" s="176" t="s">
        <v>75</v>
      </c>
      <c r="AJ15" s="177"/>
      <c r="AK15" s="176" t="s">
        <v>77</v>
      </c>
      <c r="AL15" s="176" t="s">
        <v>76</v>
      </c>
      <c r="AM15" s="176" t="s">
        <v>75</v>
      </c>
      <c r="AN15" s="176"/>
      <c r="AO15" s="176" t="s">
        <v>77</v>
      </c>
      <c r="AP15" s="176" t="s">
        <v>76</v>
      </c>
      <c r="AQ15" s="176" t="s">
        <v>75</v>
      </c>
      <c r="AR15" s="169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</row>
    <row r="16" spans="1:76" s="79" customFormat="1" ht="15" thickBot="1" x14ac:dyDescent="0.4">
      <c r="A16" s="197"/>
      <c r="B16" s="216"/>
      <c r="C16" s="198"/>
      <c r="D16" s="198"/>
      <c r="E16" s="198"/>
      <c r="F16" s="198"/>
      <c r="G16" s="198"/>
      <c r="H16" s="216"/>
      <c r="I16" s="198"/>
      <c r="J16" s="198"/>
      <c r="K16" s="198"/>
      <c r="L16" s="198"/>
      <c r="M16" s="216"/>
      <c r="N16" s="198"/>
      <c r="O16" s="198"/>
      <c r="P16" s="198"/>
      <c r="Q16" s="198"/>
      <c r="R16" s="198"/>
      <c r="S16" s="198"/>
      <c r="T16" s="198"/>
      <c r="U16" s="198"/>
      <c r="V16" s="87"/>
      <c r="W16" s="148"/>
      <c r="X16" s="147"/>
      <c r="Y16" s="148" t="s">
        <v>74</v>
      </c>
      <c r="Z16" s="148" t="s">
        <v>73</v>
      </c>
      <c r="AA16" s="148" t="s">
        <v>72</v>
      </c>
      <c r="AB16" s="148"/>
      <c r="AC16" s="148"/>
      <c r="AD16" s="148"/>
      <c r="AE16" s="148"/>
      <c r="AF16" s="148"/>
      <c r="AG16" s="176" t="s">
        <v>71</v>
      </c>
      <c r="AH16" s="176" t="s">
        <v>71</v>
      </c>
      <c r="AI16" s="176" t="s">
        <v>71</v>
      </c>
      <c r="AJ16" s="177"/>
      <c r="AK16" s="176" t="s">
        <v>71</v>
      </c>
      <c r="AL16" s="176" t="s">
        <v>71</v>
      </c>
      <c r="AM16" s="176" t="s">
        <v>71</v>
      </c>
      <c r="AN16" s="176"/>
      <c r="AO16" s="176" t="s">
        <v>71</v>
      </c>
      <c r="AP16" s="176" t="s">
        <v>71</v>
      </c>
      <c r="AQ16" s="176" t="s">
        <v>71</v>
      </c>
      <c r="AR16" s="169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</row>
    <row r="17" spans="1:76" x14ac:dyDescent="0.35">
      <c r="X17" s="173" t="s">
        <v>70</v>
      </c>
      <c r="Y17" s="172">
        <v>7756.2950000000001</v>
      </c>
      <c r="Z17" s="172">
        <v>517.5204</v>
      </c>
      <c r="AA17" s="172">
        <v>4079</v>
      </c>
      <c r="AB17" s="172"/>
      <c r="AC17" s="172"/>
      <c r="AD17" s="172"/>
      <c r="AE17" s="172"/>
      <c r="AF17" s="172"/>
      <c r="AG17" s="174">
        <v>1699.2047244</v>
      </c>
      <c r="AH17" s="174">
        <v>554.74400000000003</v>
      </c>
      <c r="AI17" s="174">
        <v>2253.9487244000002</v>
      </c>
      <c r="AJ17" s="175"/>
      <c r="AK17" s="174">
        <v>1693.5119999999999</v>
      </c>
      <c r="AL17" s="174">
        <v>509.875</v>
      </c>
      <c r="AM17" s="174">
        <v>2203.3869999999997</v>
      </c>
      <c r="AN17" s="175"/>
      <c r="AO17" s="174">
        <v>1675.398786</v>
      </c>
      <c r="AP17" s="174">
        <v>367.11</v>
      </c>
      <c r="AQ17" s="174">
        <v>2042.5087859999999</v>
      </c>
    </row>
    <row r="18" spans="1:76" x14ac:dyDescent="0.35">
      <c r="X18" s="173" t="s">
        <v>69</v>
      </c>
      <c r="Y18" s="172">
        <v>5851</v>
      </c>
      <c r="Z18" s="172">
        <v>443</v>
      </c>
      <c r="AA18" s="172">
        <v>3428</v>
      </c>
      <c r="AB18" s="172"/>
      <c r="AC18" s="172"/>
      <c r="AD18" s="172"/>
      <c r="AE18" s="172"/>
      <c r="AF18" s="172"/>
      <c r="AG18" s="174">
        <v>1288.9580000000001</v>
      </c>
      <c r="AH18" s="174">
        <v>466.20800000000003</v>
      </c>
      <c r="AI18" s="174">
        <v>1755.1660000000002</v>
      </c>
      <c r="AJ18" s="175"/>
      <c r="AK18" s="174">
        <v>1284.085</v>
      </c>
      <c r="AL18" s="174">
        <v>428.5</v>
      </c>
      <c r="AM18" s="174">
        <v>1717.4580000000001</v>
      </c>
      <c r="AN18" s="175"/>
      <c r="AO18" s="174">
        <v>1268.58</v>
      </c>
      <c r="AP18" s="174">
        <v>308.52</v>
      </c>
      <c r="AQ18" s="174">
        <v>1577.1</v>
      </c>
    </row>
    <row r="19" spans="1:76" x14ac:dyDescent="0.35">
      <c r="A19" s="180" t="s">
        <v>0</v>
      </c>
      <c r="B19" s="209" t="s">
        <v>1</v>
      </c>
      <c r="C19" s="181" t="s">
        <v>2</v>
      </c>
      <c r="D19" s="182" t="s">
        <v>3</v>
      </c>
      <c r="E19" s="182" t="s">
        <v>4</v>
      </c>
      <c r="F19" s="182" t="s">
        <v>5</v>
      </c>
      <c r="G19" s="182" t="s">
        <v>6</v>
      </c>
      <c r="H19" s="209" t="s">
        <v>7</v>
      </c>
      <c r="I19" s="182" t="s">
        <v>8</v>
      </c>
      <c r="J19" s="182" t="s">
        <v>9</v>
      </c>
      <c r="K19" s="182" t="s">
        <v>10</v>
      </c>
      <c r="L19" s="182" t="s">
        <v>11</v>
      </c>
      <c r="M19" s="209" t="s">
        <v>12</v>
      </c>
      <c r="N19" s="182" t="s">
        <v>13</v>
      </c>
      <c r="O19" s="182" t="s">
        <v>14</v>
      </c>
      <c r="P19" s="182" t="s">
        <v>15</v>
      </c>
      <c r="Q19" s="182" t="s">
        <v>16</v>
      </c>
      <c r="R19" s="183" t="s">
        <v>17</v>
      </c>
      <c r="S19" s="184" t="s">
        <v>23</v>
      </c>
      <c r="T19" s="184" t="s">
        <v>24</v>
      </c>
      <c r="U19" s="185" t="s">
        <v>18</v>
      </c>
      <c r="X19" s="173" t="s">
        <v>65</v>
      </c>
      <c r="Y19" s="172">
        <v>6404.3546999999999</v>
      </c>
      <c r="Z19" s="172">
        <v>466.53879999999998</v>
      </c>
      <c r="AA19" s="172">
        <v>3428</v>
      </c>
      <c r="AB19" s="172"/>
      <c r="AC19" s="172"/>
      <c r="AD19" s="172"/>
      <c r="AE19" s="172"/>
      <c r="AF19" s="172"/>
      <c r="AG19" s="174">
        <v>1408.3637638</v>
      </c>
      <c r="AH19" s="174">
        <v>466.20800000000003</v>
      </c>
      <c r="AI19" s="174">
        <v>1874.5717638000001</v>
      </c>
      <c r="AJ19" s="175"/>
      <c r="AK19" s="174">
        <v>1403.231837</v>
      </c>
      <c r="AL19" s="174">
        <v>428.5</v>
      </c>
      <c r="AM19" s="174">
        <v>1836.8637638</v>
      </c>
      <c r="AN19" s="175"/>
      <c r="AO19" s="174">
        <v>1386.902979</v>
      </c>
      <c r="AP19" s="174">
        <v>308.52</v>
      </c>
      <c r="AQ19" s="174">
        <v>1695.4229789999999</v>
      </c>
    </row>
    <row r="20" spans="1:76" x14ac:dyDescent="0.35">
      <c r="A20" s="154" t="s">
        <v>27</v>
      </c>
      <c r="B20" s="217">
        <v>498</v>
      </c>
      <c r="C20" s="199">
        <v>498</v>
      </c>
      <c r="D20" s="199">
        <v>498</v>
      </c>
      <c r="E20" s="199">
        <v>498</v>
      </c>
      <c r="F20" s="199">
        <v>498</v>
      </c>
      <c r="G20" s="199">
        <v>498</v>
      </c>
      <c r="H20" s="217">
        <v>498</v>
      </c>
      <c r="I20" s="199">
        <v>498</v>
      </c>
      <c r="J20" s="199">
        <v>498</v>
      </c>
      <c r="K20" s="199">
        <v>498</v>
      </c>
      <c r="L20" s="199">
        <v>498</v>
      </c>
      <c r="M20" s="217">
        <v>498</v>
      </c>
      <c r="N20" s="199">
        <v>498</v>
      </c>
      <c r="O20" s="199">
        <v>498</v>
      </c>
      <c r="P20" s="199">
        <v>498</v>
      </c>
      <c r="Q20" s="199">
        <v>498</v>
      </c>
      <c r="R20" s="199">
        <v>498</v>
      </c>
      <c r="S20" s="199">
        <v>498</v>
      </c>
      <c r="T20" s="199">
        <v>498</v>
      </c>
      <c r="U20" s="200">
        <v>9470</v>
      </c>
      <c r="V20" s="82"/>
      <c r="X20" s="173" t="s">
        <v>66</v>
      </c>
      <c r="Y20" s="172">
        <v>3681.8650249999996</v>
      </c>
      <c r="Z20" s="172">
        <v>334.46890000000002</v>
      </c>
      <c r="AA20" s="172">
        <v>2627</v>
      </c>
      <c r="AB20" s="172"/>
      <c r="AC20" s="172"/>
      <c r="AD20" s="172"/>
      <c r="AE20" s="172"/>
      <c r="AF20" s="172"/>
      <c r="AG20" s="174">
        <v>818.67942564999998</v>
      </c>
      <c r="AH20" s="174">
        <v>357.27200000000005</v>
      </c>
      <c r="AI20" s="174">
        <v>1175.9514256499999</v>
      </c>
      <c r="AJ20" s="175">
        <v>0</v>
      </c>
      <c r="AK20" s="174">
        <v>815.00026774999992</v>
      </c>
      <c r="AL20" s="174">
        <v>328.375</v>
      </c>
      <c r="AM20" s="174">
        <v>1147.05442565</v>
      </c>
      <c r="AN20" s="175">
        <v>0</v>
      </c>
      <c r="AO20" s="174">
        <v>803.29385624999986</v>
      </c>
      <c r="AP20" s="174">
        <v>236.43</v>
      </c>
      <c r="AQ20" s="174">
        <v>1039.7238562499999</v>
      </c>
    </row>
    <row r="21" spans="1:76" x14ac:dyDescent="0.35">
      <c r="A21" s="187" t="s">
        <v>20</v>
      </c>
      <c r="B21" s="218">
        <f>B20*0.22</f>
        <v>109.56</v>
      </c>
      <c r="C21" s="201">
        <f t="shared" ref="C21:U21" si="1">C20*0.22</f>
        <v>109.56</v>
      </c>
      <c r="D21" s="201">
        <f t="shared" si="1"/>
        <v>109.56</v>
      </c>
      <c r="E21" s="201">
        <f t="shared" si="1"/>
        <v>109.56</v>
      </c>
      <c r="F21" s="201">
        <f t="shared" si="1"/>
        <v>109.56</v>
      </c>
      <c r="G21" s="201">
        <f t="shared" si="1"/>
        <v>109.56</v>
      </c>
      <c r="H21" s="218">
        <f t="shared" si="1"/>
        <v>109.56</v>
      </c>
      <c r="I21" s="201">
        <f t="shared" si="1"/>
        <v>109.56</v>
      </c>
      <c r="J21" s="201">
        <f t="shared" si="1"/>
        <v>109.56</v>
      </c>
      <c r="K21" s="201">
        <f t="shared" si="1"/>
        <v>109.56</v>
      </c>
      <c r="L21" s="201">
        <f t="shared" si="1"/>
        <v>109.56</v>
      </c>
      <c r="M21" s="218">
        <f t="shared" si="1"/>
        <v>109.56</v>
      </c>
      <c r="N21" s="201">
        <f t="shared" si="1"/>
        <v>109.56</v>
      </c>
      <c r="O21" s="201">
        <f t="shared" si="1"/>
        <v>109.56</v>
      </c>
      <c r="P21" s="201">
        <f t="shared" si="1"/>
        <v>109.56</v>
      </c>
      <c r="Q21" s="201">
        <f t="shared" si="1"/>
        <v>109.56</v>
      </c>
      <c r="R21" s="201">
        <f t="shared" si="1"/>
        <v>109.56</v>
      </c>
      <c r="S21" s="201">
        <f t="shared" si="1"/>
        <v>109.56</v>
      </c>
      <c r="T21" s="201">
        <f t="shared" si="1"/>
        <v>109.56</v>
      </c>
      <c r="U21" s="202">
        <f t="shared" si="1"/>
        <v>2083.4</v>
      </c>
    </row>
    <row r="22" spans="1:76" x14ac:dyDescent="0.35">
      <c r="A22" s="187" t="s">
        <v>21</v>
      </c>
      <c r="B22" s="218">
        <f>B20*0.32</f>
        <v>159.36000000000001</v>
      </c>
      <c r="C22" s="201">
        <f t="shared" ref="C22:U22" si="2">C20*0.32</f>
        <v>159.36000000000001</v>
      </c>
      <c r="D22" s="201">
        <f t="shared" si="2"/>
        <v>159.36000000000001</v>
      </c>
      <c r="E22" s="201">
        <f t="shared" si="2"/>
        <v>159.36000000000001</v>
      </c>
      <c r="F22" s="201">
        <f t="shared" si="2"/>
        <v>159.36000000000001</v>
      </c>
      <c r="G22" s="201">
        <f t="shared" si="2"/>
        <v>159.36000000000001</v>
      </c>
      <c r="H22" s="218">
        <f t="shared" si="2"/>
        <v>159.36000000000001</v>
      </c>
      <c r="I22" s="201">
        <f t="shared" si="2"/>
        <v>159.36000000000001</v>
      </c>
      <c r="J22" s="201">
        <f t="shared" si="2"/>
        <v>159.36000000000001</v>
      </c>
      <c r="K22" s="201">
        <f t="shared" si="2"/>
        <v>159.36000000000001</v>
      </c>
      <c r="L22" s="201">
        <f t="shared" si="2"/>
        <v>159.36000000000001</v>
      </c>
      <c r="M22" s="218">
        <f t="shared" si="2"/>
        <v>159.36000000000001</v>
      </c>
      <c r="N22" s="201">
        <f t="shared" si="2"/>
        <v>159.36000000000001</v>
      </c>
      <c r="O22" s="201">
        <f t="shared" si="2"/>
        <v>159.36000000000001</v>
      </c>
      <c r="P22" s="201">
        <f t="shared" si="2"/>
        <v>159.36000000000001</v>
      </c>
      <c r="Q22" s="201">
        <f t="shared" si="2"/>
        <v>159.36000000000001</v>
      </c>
      <c r="R22" s="201">
        <f t="shared" si="2"/>
        <v>159.36000000000001</v>
      </c>
      <c r="S22" s="201">
        <f t="shared" si="2"/>
        <v>159.36000000000001</v>
      </c>
      <c r="T22" s="201">
        <f t="shared" si="2"/>
        <v>159.36000000000001</v>
      </c>
      <c r="U22" s="202">
        <f t="shared" si="2"/>
        <v>3030.4</v>
      </c>
    </row>
    <row r="23" spans="1:76" x14ac:dyDescent="0.35">
      <c r="A23" s="187" t="s">
        <v>26</v>
      </c>
      <c r="B23" s="218">
        <f>B20*0.31</f>
        <v>154.38</v>
      </c>
      <c r="C23" s="201">
        <f t="shared" ref="C23:U23" si="3">C20*0.31</f>
        <v>154.38</v>
      </c>
      <c r="D23" s="201">
        <f t="shared" si="3"/>
        <v>154.38</v>
      </c>
      <c r="E23" s="201">
        <f t="shared" si="3"/>
        <v>154.38</v>
      </c>
      <c r="F23" s="201">
        <f t="shared" si="3"/>
        <v>154.38</v>
      </c>
      <c r="G23" s="201">
        <f t="shared" si="3"/>
        <v>154.38</v>
      </c>
      <c r="H23" s="218">
        <f t="shared" si="3"/>
        <v>154.38</v>
      </c>
      <c r="I23" s="201">
        <f t="shared" si="3"/>
        <v>154.38</v>
      </c>
      <c r="J23" s="201">
        <f t="shared" si="3"/>
        <v>154.38</v>
      </c>
      <c r="K23" s="201">
        <f t="shared" si="3"/>
        <v>154.38</v>
      </c>
      <c r="L23" s="201">
        <f t="shared" si="3"/>
        <v>154.38</v>
      </c>
      <c r="M23" s="218">
        <f t="shared" si="3"/>
        <v>154.38</v>
      </c>
      <c r="N23" s="201">
        <f t="shared" si="3"/>
        <v>154.38</v>
      </c>
      <c r="O23" s="201">
        <f t="shared" si="3"/>
        <v>154.38</v>
      </c>
      <c r="P23" s="201">
        <f t="shared" si="3"/>
        <v>154.38</v>
      </c>
      <c r="Q23" s="201">
        <f t="shared" si="3"/>
        <v>154.38</v>
      </c>
      <c r="R23" s="201">
        <f t="shared" si="3"/>
        <v>154.38</v>
      </c>
      <c r="S23" s="201">
        <f t="shared" si="3"/>
        <v>154.38</v>
      </c>
      <c r="T23" s="201">
        <f t="shared" si="3"/>
        <v>154.38</v>
      </c>
      <c r="U23" s="202">
        <f t="shared" si="3"/>
        <v>2935.7</v>
      </c>
    </row>
    <row r="24" spans="1:76" s="80" customFormat="1" x14ac:dyDescent="0.35">
      <c r="A24" s="190" t="s">
        <v>22</v>
      </c>
      <c r="B24" s="218">
        <f>B20*0.15</f>
        <v>74.7</v>
      </c>
      <c r="C24" s="201">
        <f t="shared" ref="C24:U24" si="4">C20*0.15</f>
        <v>74.7</v>
      </c>
      <c r="D24" s="201">
        <f t="shared" si="4"/>
        <v>74.7</v>
      </c>
      <c r="E24" s="201">
        <f t="shared" si="4"/>
        <v>74.7</v>
      </c>
      <c r="F24" s="201">
        <f t="shared" si="4"/>
        <v>74.7</v>
      </c>
      <c r="G24" s="201">
        <f t="shared" si="4"/>
        <v>74.7</v>
      </c>
      <c r="H24" s="218">
        <f t="shared" si="4"/>
        <v>74.7</v>
      </c>
      <c r="I24" s="201">
        <f t="shared" si="4"/>
        <v>74.7</v>
      </c>
      <c r="J24" s="201">
        <f t="shared" si="4"/>
        <v>74.7</v>
      </c>
      <c r="K24" s="201">
        <f t="shared" si="4"/>
        <v>74.7</v>
      </c>
      <c r="L24" s="201">
        <f t="shared" si="4"/>
        <v>74.7</v>
      </c>
      <c r="M24" s="218">
        <f t="shared" si="4"/>
        <v>74.7</v>
      </c>
      <c r="N24" s="201">
        <f t="shared" si="4"/>
        <v>74.7</v>
      </c>
      <c r="O24" s="201">
        <f t="shared" si="4"/>
        <v>74.7</v>
      </c>
      <c r="P24" s="201">
        <f t="shared" si="4"/>
        <v>74.7</v>
      </c>
      <c r="Q24" s="201">
        <f t="shared" si="4"/>
        <v>74.7</v>
      </c>
      <c r="R24" s="201">
        <f t="shared" si="4"/>
        <v>74.7</v>
      </c>
      <c r="S24" s="201">
        <f t="shared" si="4"/>
        <v>74.7</v>
      </c>
      <c r="T24" s="201">
        <f t="shared" si="4"/>
        <v>74.7</v>
      </c>
      <c r="U24" s="202">
        <f t="shared" si="4"/>
        <v>1420.5</v>
      </c>
      <c r="V24" s="146"/>
      <c r="W24" s="148"/>
      <c r="X24" s="147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51"/>
      <c r="AK24" s="148"/>
      <c r="AL24" s="148"/>
      <c r="AM24" s="148"/>
      <c r="AN24" s="151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</row>
    <row r="25" spans="1:76" ht="15" thickBot="1" x14ac:dyDescent="0.4">
      <c r="X25" s="344" t="s">
        <v>107</v>
      </c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/>
      <c r="AJ25" s="171"/>
      <c r="AK25" s="344" t="s">
        <v>107</v>
      </c>
      <c r="AL25" s="344"/>
      <c r="AM25" s="344"/>
      <c r="AN25" s="171"/>
      <c r="AO25" s="345" t="s">
        <v>107</v>
      </c>
      <c r="AP25" s="345"/>
      <c r="AQ25" s="345"/>
    </row>
    <row r="26" spans="1:76" s="78" customFormat="1" x14ac:dyDescent="0.35">
      <c r="A26" s="191" t="s">
        <v>55</v>
      </c>
      <c r="B26" s="213"/>
      <c r="C26" s="192"/>
      <c r="D26" s="192"/>
      <c r="E26" s="192"/>
      <c r="F26" s="192"/>
      <c r="G26" s="192"/>
      <c r="H26" s="213"/>
      <c r="I26" s="192"/>
      <c r="J26" s="192"/>
      <c r="K26" s="192"/>
      <c r="L26" s="192"/>
      <c r="M26" s="213"/>
      <c r="N26" s="192"/>
      <c r="O26" s="192"/>
      <c r="P26" s="192"/>
      <c r="Q26" s="192"/>
      <c r="R26" s="192"/>
      <c r="S26" s="192"/>
      <c r="T26" s="192"/>
      <c r="U26" s="192"/>
      <c r="V26" s="84"/>
      <c r="W26" s="148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171"/>
      <c r="AK26" s="344"/>
      <c r="AL26" s="344"/>
      <c r="AM26" s="344"/>
      <c r="AN26" s="171"/>
      <c r="AO26" s="345"/>
      <c r="AP26" s="345"/>
      <c r="AQ26" s="345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</row>
    <row r="27" spans="1:76" s="77" customFormat="1" x14ac:dyDescent="0.35">
      <c r="A27" s="193" t="s">
        <v>63</v>
      </c>
      <c r="B27" s="214">
        <f>(B21*$AG$27)+('reference data- 2'!B22*$AG$28)+('reference data- 2'!B23*$AG$29)+('reference data- 2'!B24*$AG$30)*30</f>
        <v>1979362.1758501099</v>
      </c>
      <c r="C27" s="214">
        <f>(C21*$AG$27)+('reference data- 2'!C22*$AG$28)+('reference data- 2'!C23*$AG$29)+('reference data- 2'!C24*$AG$30)*30</f>
        <v>1979362.1758501099</v>
      </c>
      <c r="D27" s="214">
        <f>(D21*$AG$27)+('reference data- 2'!D22*$AG$28)+('reference data- 2'!D23*$AG$29)+('reference data- 2'!D24*$AG$30)*30</f>
        <v>1979362.1758501099</v>
      </c>
      <c r="E27" s="214">
        <f>(E21*$AG$27)+('reference data- 2'!E22*$AG$28)+('reference data- 2'!E23*$AG$29)+('reference data- 2'!E24*$AG$30)*30</f>
        <v>1979362.1758501099</v>
      </c>
      <c r="F27" s="214">
        <f>(F21*$AG$27)+('reference data- 2'!F22*$AG$28)+('reference data- 2'!F23*$AG$29)+('reference data- 2'!F24*$AG$30)*30</f>
        <v>1979362.1758501099</v>
      </c>
      <c r="G27" s="214">
        <f>(G21*$AG$27)+('reference data- 2'!G22*$AG$28)+('reference data- 2'!G23*$AG$29)+('reference data- 2'!G24*$AG$30)*30</f>
        <v>1979362.1758501099</v>
      </c>
      <c r="H27" s="214">
        <f>(B21*$AK$27)+('reference data- 2'!B22*$AK$28)+('reference data- 2'!B23*$AK$29)+('reference data- 2'!B24*$AK$30)*30</f>
        <v>1970907.787988486</v>
      </c>
      <c r="I27" s="214">
        <f>(C21*$AK$27)+('reference data- 2'!C22*$AK$28)+('reference data- 2'!C23*$AK$29)+('reference data- 2'!C24*$AK$30)*30</f>
        <v>1970907.787988486</v>
      </c>
      <c r="J27" s="214">
        <f>(D21*$AK$27)+('reference data- 2'!D22*$AK$28)+('reference data- 2'!D23*$AK$29)+('reference data- 2'!D24*$AK$30)*30</f>
        <v>1970907.787988486</v>
      </c>
      <c r="K27" s="214">
        <f>(E21*$AK$27)+('reference data- 2'!E22*$AK$28)+('reference data- 2'!E23*$AK$29)+('reference data- 2'!E24*$AK$30)*30</f>
        <v>1970907.787988486</v>
      </c>
      <c r="L27" s="214">
        <f>(F21*$AK$27)+('reference data- 2'!F22*$AK$28)+('reference data- 2'!F23*$AK$29)+('reference data- 2'!F24*$AK$30)*30</f>
        <v>1970907.787988486</v>
      </c>
      <c r="M27" s="214">
        <f>(B21*$AO$27)+('reference data- 2'!B22*$AO$28)+('reference data- 2'!B23*$AO$29)+('reference data- 2'!B24*$AO$30)*30</f>
        <v>1944007.4629742282</v>
      </c>
      <c r="N27" s="214">
        <f>(C21*$AO$27)+('reference data- 2'!C22*$AO$28)+('reference data- 2'!C23*$AO$29)+('reference data- 2'!C24*$AO$30)*30</f>
        <v>1944007.4629742282</v>
      </c>
      <c r="O27" s="214">
        <f>(D21*$AO$27)+('reference data- 2'!D22*$AO$28)+('reference data- 2'!D23*$AO$29)+('reference data- 2'!D24*$AO$30)*30</f>
        <v>1944007.4629742282</v>
      </c>
      <c r="P27" s="214">
        <f>(E21*$AO$27)+('reference data- 2'!E22*$AO$28)+('reference data- 2'!E23*$AO$29)+('reference data- 2'!E24*$AO$30)*30</f>
        <v>1944007.4629742282</v>
      </c>
      <c r="Q27" s="214">
        <f>(F21*$AO$27)+('reference data- 2'!F22*$AO$28)+('reference data- 2'!F23*$AO$29)+('reference data- 2'!F24*$AO$30)*30</f>
        <v>1944007.4629742282</v>
      </c>
      <c r="R27" s="214">
        <f>(G21*$AO$27)+('reference data- 2'!G22*$AO$28)+('reference data- 2'!G23*$AO$29)+('reference data- 2'!G24*$AO$30)*30</f>
        <v>1944007.4629742282</v>
      </c>
      <c r="S27" s="214">
        <f>(H21*$AO$27)+('reference data- 2'!H22*$AO$28)+('reference data- 2'!H23*$AO$29)+('reference data- 2'!H24*$AO$30)*30</f>
        <v>1944007.4629742282</v>
      </c>
      <c r="T27" s="214">
        <f>(I21*$AO$27)+('reference data- 2'!I22*$AO$28)+('reference data- 2'!I23*$AO$29)+('reference data- 2'!I24*$AO$30)*30</f>
        <v>1944007.4629742282</v>
      </c>
      <c r="U27" s="194">
        <f>SUM(B27:T27)</f>
        <v>37282771.698836915</v>
      </c>
      <c r="V27" s="85"/>
      <c r="W27" s="148"/>
      <c r="X27" s="173" t="s">
        <v>70</v>
      </c>
      <c r="Y27" s="172"/>
      <c r="Z27" s="172"/>
      <c r="AA27" s="172"/>
      <c r="AB27" s="172"/>
      <c r="AC27" s="172"/>
      <c r="AD27" s="172"/>
      <c r="AE27" s="172"/>
      <c r="AF27" s="172"/>
      <c r="AG27" s="174">
        <f>AG17-(AG17*0.19)</f>
        <v>1376.3558267640001</v>
      </c>
      <c r="AH27" s="174"/>
      <c r="AI27" s="174"/>
      <c r="AJ27" s="175"/>
      <c r="AK27" s="174">
        <f>AK17-(AK17*0.19)</f>
        <v>1371.7447199999999</v>
      </c>
      <c r="AL27" s="174"/>
      <c r="AM27" s="174"/>
      <c r="AN27" s="175"/>
      <c r="AO27" s="174">
        <f>AO17-(AO17*0.19)</f>
        <v>1357.0730166599999</v>
      </c>
      <c r="AP27" s="174"/>
      <c r="AQ27" s="174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</row>
    <row r="28" spans="1:76" s="77" customFormat="1" x14ac:dyDescent="0.35">
      <c r="A28" s="193" t="s">
        <v>64</v>
      </c>
      <c r="B28" s="215">
        <f>B27*144</f>
        <v>285028153.32241583</v>
      </c>
      <c r="C28" s="215">
        <f t="shared" ref="C28" si="5">C27*144</f>
        <v>285028153.32241583</v>
      </c>
      <c r="D28" s="215">
        <f t="shared" ref="D28" si="6">D27*144</f>
        <v>285028153.32241583</v>
      </c>
      <c r="E28" s="215">
        <f t="shared" ref="E28" si="7">E27*144</f>
        <v>285028153.32241583</v>
      </c>
      <c r="F28" s="215">
        <f t="shared" ref="F28" si="8">F27*144</f>
        <v>285028153.32241583</v>
      </c>
      <c r="G28" s="215">
        <f t="shared" ref="G28" si="9">G27*144</f>
        <v>285028153.32241583</v>
      </c>
      <c r="H28" s="215">
        <f t="shared" ref="H28" si="10">H27*144</f>
        <v>283810721.47034198</v>
      </c>
      <c r="I28" s="215">
        <f t="shared" ref="I28" si="11">I27*144</f>
        <v>283810721.47034198</v>
      </c>
      <c r="J28" s="215">
        <f t="shared" ref="J28" si="12">J27*144</f>
        <v>283810721.47034198</v>
      </c>
      <c r="K28" s="215">
        <f t="shared" ref="K28" si="13">K27*144</f>
        <v>283810721.47034198</v>
      </c>
      <c r="L28" s="215">
        <f t="shared" ref="L28" si="14">L27*144</f>
        <v>283810721.47034198</v>
      </c>
      <c r="M28" s="215">
        <f t="shared" ref="M28" si="15">M27*144</f>
        <v>279937074.66828889</v>
      </c>
      <c r="N28" s="215">
        <f t="shared" ref="N28" si="16">N27*144</f>
        <v>279937074.66828889</v>
      </c>
      <c r="O28" s="215">
        <f t="shared" ref="O28" si="17">O27*144</f>
        <v>279937074.66828889</v>
      </c>
      <c r="P28" s="215">
        <f t="shared" ref="P28" si="18">P27*144</f>
        <v>279937074.66828889</v>
      </c>
      <c r="Q28" s="215">
        <f t="shared" ref="Q28" si="19">Q27*144</f>
        <v>279937074.66828889</v>
      </c>
      <c r="R28" s="215">
        <f t="shared" ref="R28" si="20">R27*144</f>
        <v>279937074.66828889</v>
      </c>
      <c r="S28" s="215">
        <f t="shared" ref="S28" si="21">S27*144</f>
        <v>279937074.66828889</v>
      </c>
      <c r="T28" s="215">
        <f t="shared" ref="T28" si="22">T27*144</f>
        <v>279937074.66828889</v>
      </c>
      <c r="U28" s="215">
        <f t="shared" ref="U28" si="23">U27*144</f>
        <v>5368719124.6325159</v>
      </c>
      <c r="V28" s="86"/>
      <c r="W28" s="148"/>
      <c r="X28" s="173" t="s">
        <v>69</v>
      </c>
      <c r="Y28" s="172"/>
      <c r="Z28" s="172"/>
      <c r="AA28" s="172"/>
      <c r="AB28" s="172"/>
      <c r="AC28" s="172"/>
      <c r="AD28" s="172"/>
      <c r="AE28" s="172"/>
      <c r="AF28" s="172"/>
      <c r="AG28" s="174">
        <f t="shared" ref="AG28:AG30" si="24">AG18-(AG18*0.19)</f>
        <v>1044.0559800000001</v>
      </c>
      <c r="AH28" s="174"/>
      <c r="AI28" s="174"/>
      <c r="AJ28" s="175"/>
      <c r="AK28" s="174">
        <f>AK18-(AK18*0.19)</f>
        <v>1040.1088500000001</v>
      </c>
      <c r="AL28" s="174"/>
      <c r="AM28" s="174"/>
      <c r="AN28" s="175"/>
      <c r="AO28" s="174">
        <f t="shared" ref="AO28:AO30" si="25">AO18-(AO18*0.19)</f>
        <v>1027.5498</v>
      </c>
      <c r="AP28" s="174"/>
      <c r="AQ28" s="174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</row>
    <row r="29" spans="1:76" s="77" customFormat="1" x14ac:dyDescent="0.35">
      <c r="A29" s="193"/>
      <c r="B29" s="213"/>
      <c r="C29" s="196"/>
      <c r="D29" s="194"/>
      <c r="E29" s="194"/>
      <c r="F29" s="194"/>
      <c r="G29" s="194"/>
      <c r="H29" s="214"/>
      <c r="I29" s="194"/>
      <c r="J29" s="194"/>
      <c r="K29" s="194"/>
      <c r="L29" s="194"/>
      <c r="M29" s="214"/>
      <c r="N29" s="194"/>
      <c r="O29" s="194"/>
      <c r="P29" s="194"/>
      <c r="Q29" s="194"/>
      <c r="R29" s="194"/>
      <c r="S29" s="194"/>
      <c r="T29" s="194"/>
      <c r="U29" s="194"/>
      <c r="V29" s="85"/>
      <c r="W29" s="148"/>
      <c r="X29" s="173" t="s">
        <v>65</v>
      </c>
      <c r="Y29" s="172"/>
      <c r="Z29" s="172"/>
      <c r="AA29" s="172"/>
      <c r="AB29" s="172"/>
      <c r="AC29" s="172"/>
      <c r="AD29" s="172"/>
      <c r="AE29" s="172"/>
      <c r="AF29" s="172"/>
      <c r="AG29" s="174">
        <f t="shared" si="24"/>
        <v>1140.7746486779999</v>
      </c>
      <c r="AH29" s="174"/>
      <c r="AI29" s="174"/>
      <c r="AJ29" s="175"/>
      <c r="AK29" s="174">
        <f t="shared" ref="AK29:AK30" si="26">AK19-(AK19*0.19)</f>
        <v>1136.6177879700001</v>
      </c>
      <c r="AL29" s="174"/>
      <c r="AM29" s="174"/>
      <c r="AN29" s="175"/>
      <c r="AO29" s="174">
        <f t="shared" si="25"/>
        <v>1123.3914129899999</v>
      </c>
      <c r="AP29" s="174"/>
      <c r="AQ29" s="174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</row>
    <row r="30" spans="1:76" s="79" customFormat="1" ht="15" thickBot="1" x14ac:dyDescent="0.4">
      <c r="A30" s="197"/>
      <c r="B30" s="216"/>
      <c r="C30" s="198"/>
      <c r="D30" s="198"/>
      <c r="E30" s="198"/>
      <c r="F30" s="198"/>
      <c r="G30" s="198"/>
      <c r="H30" s="216"/>
      <c r="I30" s="198"/>
      <c r="J30" s="198"/>
      <c r="K30" s="198"/>
      <c r="L30" s="198"/>
      <c r="M30" s="216"/>
      <c r="N30" s="198"/>
      <c r="O30" s="198"/>
      <c r="P30" s="198"/>
      <c r="Q30" s="198"/>
      <c r="R30" s="198"/>
      <c r="S30" s="198"/>
      <c r="T30" s="198"/>
      <c r="U30" s="198"/>
      <c r="V30" s="87"/>
      <c r="W30" s="148"/>
      <c r="X30" s="173" t="s">
        <v>66</v>
      </c>
      <c r="Y30" s="172"/>
      <c r="Z30" s="172"/>
      <c r="AA30" s="172"/>
      <c r="AB30" s="172"/>
      <c r="AC30" s="172"/>
      <c r="AD30" s="172"/>
      <c r="AE30" s="172"/>
      <c r="AF30" s="172"/>
      <c r="AG30" s="174">
        <f t="shared" si="24"/>
        <v>663.13033477649992</v>
      </c>
      <c r="AH30" s="174"/>
      <c r="AI30" s="174"/>
      <c r="AJ30" s="175"/>
      <c r="AK30" s="174">
        <f t="shared" si="26"/>
        <v>660.15021687749993</v>
      </c>
      <c r="AL30" s="174"/>
      <c r="AM30" s="174"/>
      <c r="AN30" s="175"/>
      <c r="AO30" s="174">
        <f t="shared" si="25"/>
        <v>650.66802356249991</v>
      </c>
      <c r="AP30" s="174"/>
      <c r="AQ30" s="174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</row>
    <row r="31" spans="1:76" ht="15.75" customHeight="1" x14ac:dyDescent="0.35">
      <c r="A31" s="187"/>
      <c r="X31" s="173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83"/>
      <c r="AK31" s="174"/>
      <c r="AL31" s="172"/>
      <c r="AM31" s="172"/>
      <c r="AN31" s="83"/>
      <c r="AO31" s="174"/>
      <c r="AP31" s="172"/>
      <c r="AQ31" s="172"/>
    </row>
    <row r="32" spans="1:76" x14ac:dyDescent="0.35">
      <c r="A32" s="187"/>
      <c r="X32" s="173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83"/>
      <c r="AK32" s="172"/>
      <c r="AL32" s="172"/>
      <c r="AM32" s="172"/>
      <c r="AN32" s="83"/>
      <c r="AO32" s="172"/>
      <c r="AP32" s="172"/>
      <c r="AQ32" s="172"/>
    </row>
    <row r="33" spans="1:76" x14ac:dyDescent="0.35">
      <c r="A33" s="180" t="s">
        <v>0</v>
      </c>
      <c r="B33" s="209" t="s">
        <v>1</v>
      </c>
      <c r="C33" s="181" t="s">
        <v>2</v>
      </c>
      <c r="D33" s="182" t="s">
        <v>3</v>
      </c>
      <c r="E33" s="182" t="s">
        <v>4</v>
      </c>
      <c r="F33" s="182" t="s">
        <v>5</v>
      </c>
      <c r="G33" s="182" t="s">
        <v>6</v>
      </c>
      <c r="H33" s="209" t="s">
        <v>7</v>
      </c>
      <c r="I33" s="182" t="s">
        <v>8</v>
      </c>
      <c r="J33" s="182" t="s">
        <v>9</v>
      </c>
      <c r="K33" s="182" t="s">
        <v>10</v>
      </c>
      <c r="L33" s="182" t="s">
        <v>11</v>
      </c>
      <c r="M33" s="209" t="s">
        <v>12</v>
      </c>
      <c r="N33" s="182" t="s">
        <v>13</v>
      </c>
      <c r="O33" s="182" t="s">
        <v>14</v>
      </c>
      <c r="P33" s="182" t="s">
        <v>15</v>
      </c>
      <c r="Q33" s="182" t="s">
        <v>16</v>
      </c>
      <c r="R33" s="183" t="s">
        <v>17</v>
      </c>
      <c r="S33" s="184" t="s">
        <v>23</v>
      </c>
      <c r="T33" s="184" t="s">
        <v>24</v>
      </c>
      <c r="U33" s="185" t="s">
        <v>18</v>
      </c>
      <c r="X33" s="158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83"/>
      <c r="AK33" s="172"/>
      <c r="AL33" s="172"/>
      <c r="AM33" s="172"/>
      <c r="AN33" s="83"/>
      <c r="AO33" s="172"/>
      <c r="AP33" s="172"/>
      <c r="AQ33" s="172"/>
    </row>
    <row r="34" spans="1:76" x14ac:dyDescent="0.35">
      <c r="A34" s="154" t="s">
        <v>53</v>
      </c>
      <c r="B34" s="217">
        <v>2870</v>
      </c>
      <c r="C34" s="199">
        <v>2870</v>
      </c>
      <c r="D34" s="199">
        <v>2870</v>
      </c>
      <c r="E34" s="199">
        <v>2870</v>
      </c>
      <c r="F34" s="199">
        <v>2870</v>
      </c>
      <c r="G34" s="199">
        <v>2870</v>
      </c>
      <c r="H34" s="217">
        <v>2870</v>
      </c>
      <c r="I34" s="199">
        <v>2870</v>
      </c>
      <c r="J34" s="199">
        <v>2870</v>
      </c>
      <c r="K34" s="199">
        <v>2870</v>
      </c>
      <c r="L34" s="199">
        <v>2870</v>
      </c>
      <c r="M34" s="217">
        <v>2870</v>
      </c>
      <c r="N34" s="199">
        <v>2870</v>
      </c>
      <c r="O34" s="199">
        <v>2870</v>
      </c>
      <c r="P34" s="199">
        <v>2870</v>
      </c>
      <c r="Q34" s="199">
        <v>2870</v>
      </c>
      <c r="R34" s="199">
        <v>2870</v>
      </c>
      <c r="S34" s="199">
        <v>2870</v>
      </c>
      <c r="T34" s="199">
        <v>2870</v>
      </c>
      <c r="U34" s="200">
        <v>54530</v>
      </c>
      <c r="V34" s="82"/>
    </row>
    <row r="35" spans="1:76" x14ac:dyDescent="0.35">
      <c r="A35" s="187" t="s">
        <v>20</v>
      </c>
      <c r="B35" s="218">
        <f>B34*0.04</f>
        <v>114.8</v>
      </c>
      <c r="C35" s="201">
        <f t="shared" ref="C35:U35" si="27">C34*0.04</f>
        <v>114.8</v>
      </c>
      <c r="D35" s="201">
        <f t="shared" si="27"/>
        <v>114.8</v>
      </c>
      <c r="E35" s="201">
        <f t="shared" si="27"/>
        <v>114.8</v>
      </c>
      <c r="F35" s="201">
        <f t="shared" si="27"/>
        <v>114.8</v>
      </c>
      <c r="G35" s="201">
        <f t="shared" si="27"/>
        <v>114.8</v>
      </c>
      <c r="H35" s="218">
        <f t="shared" si="27"/>
        <v>114.8</v>
      </c>
      <c r="I35" s="201">
        <f t="shared" si="27"/>
        <v>114.8</v>
      </c>
      <c r="J35" s="201">
        <f t="shared" si="27"/>
        <v>114.8</v>
      </c>
      <c r="K35" s="201">
        <f t="shared" si="27"/>
        <v>114.8</v>
      </c>
      <c r="L35" s="201">
        <f t="shared" si="27"/>
        <v>114.8</v>
      </c>
      <c r="M35" s="218">
        <f t="shared" si="27"/>
        <v>114.8</v>
      </c>
      <c r="N35" s="201">
        <f t="shared" si="27"/>
        <v>114.8</v>
      </c>
      <c r="O35" s="201">
        <f t="shared" si="27"/>
        <v>114.8</v>
      </c>
      <c r="P35" s="201">
        <f t="shared" si="27"/>
        <v>114.8</v>
      </c>
      <c r="Q35" s="201">
        <f t="shared" si="27"/>
        <v>114.8</v>
      </c>
      <c r="R35" s="201">
        <f t="shared" si="27"/>
        <v>114.8</v>
      </c>
      <c r="S35" s="201">
        <f t="shared" si="27"/>
        <v>114.8</v>
      </c>
      <c r="T35" s="201">
        <f t="shared" si="27"/>
        <v>114.8</v>
      </c>
      <c r="U35" s="202">
        <f t="shared" si="27"/>
        <v>2181.1999999999998</v>
      </c>
    </row>
    <row r="36" spans="1:76" x14ac:dyDescent="0.35">
      <c r="A36" s="187" t="s">
        <v>21</v>
      </c>
      <c r="B36" s="218">
        <f>B34*0.24</f>
        <v>688.8</v>
      </c>
      <c r="C36" s="201">
        <f t="shared" ref="C36:U36" si="28">C34*0.24</f>
        <v>688.8</v>
      </c>
      <c r="D36" s="201">
        <f t="shared" si="28"/>
        <v>688.8</v>
      </c>
      <c r="E36" s="201">
        <f t="shared" si="28"/>
        <v>688.8</v>
      </c>
      <c r="F36" s="201">
        <f t="shared" si="28"/>
        <v>688.8</v>
      </c>
      <c r="G36" s="201">
        <f t="shared" si="28"/>
        <v>688.8</v>
      </c>
      <c r="H36" s="218">
        <f t="shared" si="28"/>
        <v>688.8</v>
      </c>
      <c r="I36" s="201">
        <f t="shared" si="28"/>
        <v>688.8</v>
      </c>
      <c r="J36" s="201">
        <f t="shared" si="28"/>
        <v>688.8</v>
      </c>
      <c r="K36" s="201">
        <f t="shared" si="28"/>
        <v>688.8</v>
      </c>
      <c r="L36" s="201">
        <f t="shared" si="28"/>
        <v>688.8</v>
      </c>
      <c r="M36" s="218">
        <f t="shared" si="28"/>
        <v>688.8</v>
      </c>
      <c r="N36" s="201">
        <f t="shared" si="28"/>
        <v>688.8</v>
      </c>
      <c r="O36" s="201">
        <f t="shared" si="28"/>
        <v>688.8</v>
      </c>
      <c r="P36" s="201">
        <f t="shared" si="28"/>
        <v>688.8</v>
      </c>
      <c r="Q36" s="201">
        <f t="shared" si="28"/>
        <v>688.8</v>
      </c>
      <c r="R36" s="201">
        <f t="shared" si="28"/>
        <v>688.8</v>
      </c>
      <c r="S36" s="201">
        <f t="shared" si="28"/>
        <v>688.8</v>
      </c>
      <c r="T36" s="201">
        <f t="shared" si="28"/>
        <v>688.8</v>
      </c>
      <c r="U36" s="202">
        <f t="shared" si="28"/>
        <v>13087.199999999999</v>
      </c>
    </row>
    <row r="37" spans="1:76" x14ac:dyDescent="0.35">
      <c r="A37" s="187" t="s">
        <v>26</v>
      </c>
      <c r="B37" s="218">
        <f>B34*0.35</f>
        <v>1004.4999999999999</v>
      </c>
      <c r="C37" s="201">
        <f t="shared" ref="C37:U37" si="29">C34*0.35</f>
        <v>1004.4999999999999</v>
      </c>
      <c r="D37" s="201">
        <f t="shared" si="29"/>
        <v>1004.4999999999999</v>
      </c>
      <c r="E37" s="201">
        <f t="shared" si="29"/>
        <v>1004.4999999999999</v>
      </c>
      <c r="F37" s="201">
        <f t="shared" si="29"/>
        <v>1004.4999999999999</v>
      </c>
      <c r="G37" s="201">
        <f t="shared" si="29"/>
        <v>1004.4999999999999</v>
      </c>
      <c r="H37" s="218">
        <f t="shared" si="29"/>
        <v>1004.4999999999999</v>
      </c>
      <c r="I37" s="201">
        <f t="shared" si="29"/>
        <v>1004.4999999999999</v>
      </c>
      <c r="J37" s="201">
        <f t="shared" si="29"/>
        <v>1004.4999999999999</v>
      </c>
      <c r="K37" s="201">
        <f t="shared" si="29"/>
        <v>1004.4999999999999</v>
      </c>
      <c r="L37" s="201">
        <f t="shared" si="29"/>
        <v>1004.4999999999999</v>
      </c>
      <c r="M37" s="218">
        <f t="shared" si="29"/>
        <v>1004.4999999999999</v>
      </c>
      <c r="N37" s="201">
        <f t="shared" si="29"/>
        <v>1004.4999999999999</v>
      </c>
      <c r="O37" s="201">
        <f t="shared" si="29"/>
        <v>1004.4999999999999</v>
      </c>
      <c r="P37" s="201">
        <f t="shared" si="29"/>
        <v>1004.4999999999999</v>
      </c>
      <c r="Q37" s="201">
        <f t="shared" si="29"/>
        <v>1004.4999999999999</v>
      </c>
      <c r="R37" s="201">
        <f t="shared" si="29"/>
        <v>1004.4999999999999</v>
      </c>
      <c r="S37" s="201">
        <f t="shared" si="29"/>
        <v>1004.4999999999999</v>
      </c>
      <c r="T37" s="201">
        <f t="shared" si="29"/>
        <v>1004.4999999999999</v>
      </c>
      <c r="U37" s="202">
        <f t="shared" si="29"/>
        <v>19085.5</v>
      </c>
    </row>
    <row r="38" spans="1:76" s="80" customFormat="1" x14ac:dyDescent="0.35">
      <c r="A38" s="190" t="s">
        <v>22</v>
      </c>
      <c r="B38" s="218">
        <f>B34*0.37</f>
        <v>1061.9000000000001</v>
      </c>
      <c r="C38" s="201">
        <f t="shared" ref="C38:T38" si="30">C34*0.37</f>
        <v>1061.9000000000001</v>
      </c>
      <c r="D38" s="201">
        <f t="shared" si="30"/>
        <v>1061.9000000000001</v>
      </c>
      <c r="E38" s="201">
        <f t="shared" si="30"/>
        <v>1061.9000000000001</v>
      </c>
      <c r="F38" s="201">
        <f t="shared" si="30"/>
        <v>1061.9000000000001</v>
      </c>
      <c r="G38" s="201">
        <f t="shared" si="30"/>
        <v>1061.9000000000001</v>
      </c>
      <c r="H38" s="218">
        <f t="shared" si="30"/>
        <v>1061.9000000000001</v>
      </c>
      <c r="I38" s="201">
        <f t="shared" si="30"/>
        <v>1061.9000000000001</v>
      </c>
      <c r="J38" s="201">
        <f t="shared" si="30"/>
        <v>1061.9000000000001</v>
      </c>
      <c r="K38" s="201">
        <f t="shared" si="30"/>
        <v>1061.9000000000001</v>
      </c>
      <c r="L38" s="201">
        <f t="shared" si="30"/>
        <v>1061.9000000000001</v>
      </c>
      <c r="M38" s="218">
        <f t="shared" si="30"/>
        <v>1061.9000000000001</v>
      </c>
      <c r="N38" s="201">
        <f t="shared" si="30"/>
        <v>1061.9000000000001</v>
      </c>
      <c r="O38" s="201">
        <f t="shared" si="30"/>
        <v>1061.9000000000001</v>
      </c>
      <c r="P38" s="201">
        <f t="shared" si="30"/>
        <v>1061.9000000000001</v>
      </c>
      <c r="Q38" s="201">
        <f t="shared" si="30"/>
        <v>1061.9000000000001</v>
      </c>
      <c r="R38" s="201">
        <f t="shared" si="30"/>
        <v>1061.9000000000001</v>
      </c>
      <c r="S38" s="201">
        <f t="shared" si="30"/>
        <v>1061.9000000000001</v>
      </c>
      <c r="T38" s="201">
        <f t="shared" si="30"/>
        <v>1061.9000000000001</v>
      </c>
      <c r="U38" s="202">
        <f>U34*0.37</f>
        <v>20176.099999999999</v>
      </c>
      <c r="V38" s="146"/>
      <c r="W38" s="148"/>
      <c r="X38" s="147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51"/>
      <c r="AK38" s="148"/>
      <c r="AL38" s="148"/>
      <c r="AM38" s="148"/>
      <c r="AN38" s="151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</row>
    <row r="39" spans="1:76" ht="15" thickBot="1" x14ac:dyDescent="0.4"/>
    <row r="40" spans="1:76" s="78" customFormat="1" x14ac:dyDescent="0.35">
      <c r="A40" s="191" t="s">
        <v>55</v>
      </c>
      <c r="B40" s="213"/>
      <c r="C40" s="192"/>
      <c r="D40" s="192"/>
      <c r="E40" s="192"/>
      <c r="F40" s="192"/>
      <c r="G40" s="192"/>
      <c r="H40" s="213"/>
      <c r="I40" s="192"/>
      <c r="J40" s="192"/>
      <c r="K40" s="192"/>
      <c r="L40" s="192"/>
      <c r="M40" s="213"/>
      <c r="N40" s="192"/>
      <c r="O40" s="192"/>
      <c r="P40" s="192"/>
      <c r="Q40" s="192"/>
      <c r="R40" s="192"/>
      <c r="S40" s="192"/>
      <c r="T40" s="192"/>
      <c r="U40" s="192"/>
      <c r="V40" s="84"/>
      <c r="W40" s="148"/>
      <c r="X40" s="147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51"/>
      <c r="AK40" s="148"/>
      <c r="AL40" s="148"/>
      <c r="AM40" s="148"/>
      <c r="AN40" s="151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</row>
    <row r="41" spans="1:76" s="77" customFormat="1" x14ac:dyDescent="0.35">
      <c r="A41" s="193" t="s">
        <v>63</v>
      </c>
      <c r="B41" s="214">
        <f>(B35*$AG$27)+('reference data- 2'!B36*$AG$28)+('reference data- 2'!B37*$AG$29)+('reference data- 2'!B38*$AG$30)*30</f>
        <v>23148402.617508519</v>
      </c>
      <c r="C41" s="214">
        <f>(C35*$AG$27)+('reference data- 2'!C36*$AG$28)+('reference data- 2'!C37*$AG$29)+('reference data- 2'!C38*$AG$30)*30</f>
        <v>23148402.617508519</v>
      </c>
      <c r="D41" s="214">
        <f>(D35*$AG$27)+('reference data- 2'!D36*$AG$28)+('reference data- 2'!D37*$AG$29)+('reference data- 2'!D38*$AG$30)*30</f>
        <v>23148402.617508519</v>
      </c>
      <c r="E41" s="214">
        <f>(E35*$AG$27)+('reference data- 2'!E36*$AG$28)+('reference data- 2'!E37*$AG$29)+('reference data- 2'!E38*$AG$30)*30</f>
        <v>23148402.617508519</v>
      </c>
      <c r="F41" s="214">
        <f>(F35*$AG$27)+('reference data- 2'!F36*$AG$28)+('reference data- 2'!F37*$AG$29)+('reference data- 2'!F38*$AG$30)*30</f>
        <v>23148402.617508519</v>
      </c>
      <c r="G41" s="214">
        <f>(G35*$AG$27)+('reference data- 2'!G36*$AG$28)+('reference data- 2'!G37*$AG$29)+('reference data- 2'!G38*$AG$30)*30</f>
        <v>23148402.617508519</v>
      </c>
      <c r="H41" s="214">
        <f>(B35*$AK$27)+('reference data- 2'!B36*$AK$28)+('reference data- 2'!B37*$AK$29)+('reference data- 2'!B38*$AK$30)*30</f>
        <v>23046041.296818383</v>
      </c>
      <c r="I41" s="214">
        <f>(C35*$AK$27)+('reference data- 2'!C36*$AK$28)+('reference data- 2'!C37*$AK$29)+('reference data- 2'!C38*$AK$30)*30</f>
        <v>23046041.296818383</v>
      </c>
      <c r="J41" s="214">
        <f>(D35*$AK$27)+('reference data- 2'!D36*$AK$28)+('reference data- 2'!D37*$AK$29)+('reference data- 2'!D38*$AK$30)*30</f>
        <v>23046041.296818383</v>
      </c>
      <c r="K41" s="214">
        <f>(E35*$AK$27)+('reference data- 2'!E36*$AK$28)+('reference data- 2'!E37*$AK$29)+('reference data- 2'!E38*$AK$30)*30</f>
        <v>23046041.296818383</v>
      </c>
      <c r="L41" s="214">
        <f>(F35*$AK$27)+('reference data- 2'!F36*$AK$28)+('reference data- 2'!F37*$AK$29)+('reference data- 2'!F38*$AK$30)*30</f>
        <v>23046041.296818383</v>
      </c>
      <c r="M41" s="214">
        <f>(B35*$AO$27)+('reference data- 2'!B36*$AO$28)+('reference data- 2'!B37*$AO$29)+('reference data- 2'!B38*$AO$30)*30</f>
        <v>22720346.185531583</v>
      </c>
      <c r="N41" s="214">
        <f>(C35*$AO$27)+('reference data- 2'!C36*$AO$28)+('reference data- 2'!C37*$AO$29)+('reference data- 2'!C38*$AO$30)*30</f>
        <v>22720346.185531583</v>
      </c>
      <c r="O41" s="214">
        <f>(D35*$AO$27)+('reference data- 2'!D36*$AO$28)+('reference data- 2'!D37*$AO$29)+('reference data- 2'!D38*$AO$30)*30</f>
        <v>22720346.185531583</v>
      </c>
      <c r="P41" s="214">
        <f>(E35*$AO$27)+('reference data- 2'!E36*$AO$28)+('reference data- 2'!E37*$AO$29)+('reference data- 2'!E38*$AO$30)*30</f>
        <v>22720346.185531583</v>
      </c>
      <c r="Q41" s="214">
        <f>(F35*$AO$27)+('reference data- 2'!F36*$AO$28)+('reference data- 2'!F37*$AO$29)+('reference data- 2'!F38*$AO$30)*30</f>
        <v>22720346.185531583</v>
      </c>
      <c r="R41" s="214">
        <f>(G35*$AO$27)+('reference data- 2'!G36*$AO$28)+('reference data- 2'!G37*$AO$29)+('reference data- 2'!G38*$AO$30)*30</f>
        <v>22720346.185531583</v>
      </c>
      <c r="S41" s="214">
        <f>(H35*$AO$27)+('reference data- 2'!H36*$AO$28)+('reference data- 2'!H37*$AO$29)+('reference data- 2'!H38*$AO$30)*30</f>
        <v>22720346.185531583</v>
      </c>
      <c r="T41" s="214">
        <f>(I35*$AO$27)+('reference data- 2'!I36*$AO$28)+('reference data- 2'!I37*$AO$29)+('reference data- 2'!I38*$AO$30)*30</f>
        <v>22720346.185531583</v>
      </c>
      <c r="U41" s="194">
        <f>SUM(B41:T41)</f>
        <v>435883391.67339545</v>
      </c>
      <c r="V41" s="85"/>
      <c r="W41" s="148"/>
      <c r="X41" s="147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51"/>
      <c r="AK41" s="148"/>
      <c r="AL41" s="148"/>
      <c r="AM41" s="148"/>
      <c r="AN41" s="151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</row>
    <row r="42" spans="1:76" s="77" customFormat="1" x14ac:dyDescent="0.35">
      <c r="A42" s="193" t="s">
        <v>64</v>
      </c>
      <c r="B42" s="215">
        <f>B41*144</f>
        <v>3333369976.921227</v>
      </c>
      <c r="C42" s="215">
        <f>C41*144</f>
        <v>3333369976.921227</v>
      </c>
      <c r="D42" s="215">
        <f t="shared" ref="D42" si="31">D41*144</f>
        <v>3333369976.921227</v>
      </c>
      <c r="E42" s="215">
        <f t="shared" ref="E42" si="32">E41*144</f>
        <v>3333369976.921227</v>
      </c>
      <c r="F42" s="215">
        <f t="shared" ref="F42" si="33">F41*144</f>
        <v>3333369976.921227</v>
      </c>
      <c r="G42" s="215">
        <f t="shared" ref="G42" si="34">G41*144</f>
        <v>3333369976.921227</v>
      </c>
      <c r="H42" s="215">
        <f t="shared" ref="H42" si="35">H41*144</f>
        <v>3318629946.741847</v>
      </c>
      <c r="I42" s="215">
        <f t="shared" ref="I42" si="36">I41*144</f>
        <v>3318629946.741847</v>
      </c>
      <c r="J42" s="215">
        <f t="shared" ref="J42" si="37">J41*144</f>
        <v>3318629946.741847</v>
      </c>
      <c r="K42" s="215">
        <f t="shared" ref="K42" si="38">K41*144</f>
        <v>3318629946.741847</v>
      </c>
      <c r="L42" s="215">
        <f t="shared" ref="L42" si="39">L41*144</f>
        <v>3318629946.741847</v>
      </c>
      <c r="M42" s="215">
        <f t="shared" ref="M42" si="40">M41*144</f>
        <v>3271729850.716548</v>
      </c>
      <c r="N42" s="215">
        <f t="shared" ref="N42" si="41">N41*144</f>
        <v>3271729850.716548</v>
      </c>
      <c r="O42" s="215">
        <f t="shared" ref="O42" si="42">O41*144</f>
        <v>3271729850.716548</v>
      </c>
      <c r="P42" s="215">
        <f t="shared" ref="P42" si="43">P41*144</f>
        <v>3271729850.716548</v>
      </c>
      <c r="Q42" s="215">
        <f t="shared" ref="Q42" si="44">Q41*144</f>
        <v>3271729850.716548</v>
      </c>
      <c r="R42" s="215">
        <f t="shared" ref="R42" si="45">R41*144</f>
        <v>3271729850.716548</v>
      </c>
      <c r="S42" s="215">
        <f t="shared" ref="S42" si="46">S41*144</f>
        <v>3271729850.716548</v>
      </c>
      <c r="T42" s="215">
        <f t="shared" ref="T42" si="47">T41*144</f>
        <v>3271729850.716548</v>
      </c>
      <c r="U42" s="215">
        <f t="shared" ref="U42" si="48">U41*144</f>
        <v>62767208400.968948</v>
      </c>
      <c r="V42" s="86"/>
      <c r="W42" s="148"/>
      <c r="X42" s="147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51"/>
      <c r="AK42" s="148"/>
      <c r="AL42" s="148"/>
      <c r="AM42" s="148"/>
      <c r="AN42" s="151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</row>
    <row r="43" spans="1:76" s="77" customFormat="1" x14ac:dyDescent="0.35">
      <c r="A43" s="193"/>
      <c r="B43" s="213"/>
      <c r="C43" s="196"/>
      <c r="D43" s="194"/>
      <c r="E43" s="194"/>
      <c r="F43" s="194"/>
      <c r="G43" s="194"/>
      <c r="H43" s="214"/>
      <c r="I43" s="194"/>
      <c r="J43" s="194"/>
      <c r="K43" s="194"/>
      <c r="L43" s="194"/>
      <c r="M43" s="214"/>
      <c r="N43" s="194"/>
      <c r="O43" s="194"/>
      <c r="P43" s="194"/>
      <c r="Q43" s="194"/>
      <c r="R43" s="194"/>
      <c r="S43" s="194"/>
      <c r="T43" s="194"/>
      <c r="U43" s="194"/>
      <c r="V43" s="85"/>
      <c r="W43" s="148"/>
      <c r="X43" s="147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51"/>
      <c r="AK43" s="148"/>
      <c r="AL43" s="148"/>
      <c r="AM43" s="148"/>
      <c r="AN43" s="151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</row>
    <row r="44" spans="1:76" s="79" customFormat="1" ht="15" thickBot="1" x14ac:dyDescent="0.4">
      <c r="A44" s="197"/>
      <c r="B44" s="216"/>
      <c r="C44" s="198"/>
      <c r="D44" s="198"/>
      <c r="E44" s="198"/>
      <c r="F44" s="198"/>
      <c r="G44" s="198"/>
      <c r="H44" s="216"/>
      <c r="I44" s="198"/>
      <c r="J44" s="198"/>
      <c r="K44" s="198"/>
      <c r="L44" s="198"/>
      <c r="M44" s="216"/>
      <c r="N44" s="198"/>
      <c r="O44" s="198"/>
      <c r="P44" s="198"/>
      <c r="Q44" s="198"/>
      <c r="R44" s="198"/>
      <c r="S44" s="198"/>
      <c r="T44" s="198"/>
      <c r="U44" s="198"/>
      <c r="V44" s="87"/>
      <c r="W44" s="148"/>
      <c r="X44" s="147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51"/>
      <c r="AK44" s="148"/>
      <c r="AL44" s="148"/>
      <c r="AM44" s="148"/>
      <c r="AN44" s="151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</row>
    <row r="45" spans="1:76" x14ac:dyDescent="0.35">
      <c r="A45" s="154"/>
    </row>
    <row r="46" spans="1:76" x14ac:dyDescent="0.35">
      <c r="A46" s="204"/>
    </row>
    <row r="47" spans="1:76" x14ac:dyDescent="0.35">
      <c r="A47" s="180" t="s">
        <v>0</v>
      </c>
      <c r="B47" s="209" t="s">
        <v>1</v>
      </c>
      <c r="C47" s="181" t="s">
        <v>2</v>
      </c>
      <c r="D47" s="182" t="s">
        <v>3</v>
      </c>
      <c r="E47" s="182" t="s">
        <v>4</v>
      </c>
      <c r="F47" s="182" t="s">
        <v>5</v>
      </c>
      <c r="G47" s="182" t="s">
        <v>6</v>
      </c>
      <c r="H47" s="209" t="s">
        <v>7</v>
      </c>
      <c r="I47" s="182" t="s">
        <v>8</v>
      </c>
      <c r="J47" s="182" t="s">
        <v>9</v>
      </c>
      <c r="K47" s="182" t="s">
        <v>10</v>
      </c>
      <c r="L47" s="182" t="s">
        <v>11</v>
      </c>
      <c r="M47" s="209" t="s">
        <v>12</v>
      </c>
      <c r="N47" s="182" t="s">
        <v>13</v>
      </c>
      <c r="O47" s="182" t="s">
        <v>14</v>
      </c>
      <c r="P47" s="182" t="s">
        <v>15</v>
      </c>
      <c r="Q47" s="182" t="s">
        <v>16</v>
      </c>
      <c r="R47" s="183" t="s">
        <v>17</v>
      </c>
      <c r="S47" s="184" t="s">
        <v>23</v>
      </c>
      <c r="T47" s="184" t="s">
        <v>24</v>
      </c>
      <c r="U47" s="185" t="s">
        <v>18</v>
      </c>
    </row>
    <row r="48" spans="1:76" x14ac:dyDescent="0.35">
      <c r="A48" s="154" t="s">
        <v>29</v>
      </c>
      <c r="B48" s="217">
        <v>752</v>
      </c>
      <c r="C48" s="199">
        <v>752</v>
      </c>
      <c r="D48" s="199">
        <v>752</v>
      </c>
      <c r="E48" s="199">
        <v>752</v>
      </c>
      <c r="F48" s="199">
        <v>752</v>
      </c>
      <c r="G48" s="199">
        <v>752</v>
      </c>
      <c r="H48" s="217">
        <v>752</v>
      </c>
      <c r="I48" s="199">
        <v>752</v>
      </c>
      <c r="J48" s="199">
        <v>752</v>
      </c>
      <c r="K48" s="199">
        <v>752</v>
      </c>
      <c r="L48" s="199">
        <v>752</v>
      </c>
      <c r="M48" s="217">
        <v>752</v>
      </c>
      <c r="N48" s="199">
        <v>752</v>
      </c>
      <c r="O48" s="199">
        <v>752</v>
      </c>
      <c r="P48" s="199">
        <v>752</v>
      </c>
      <c r="Q48" s="199">
        <v>752</v>
      </c>
      <c r="R48" s="199">
        <v>752</v>
      </c>
      <c r="S48" s="199">
        <v>752</v>
      </c>
      <c r="T48" s="199">
        <v>752</v>
      </c>
      <c r="U48" s="200">
        <v>14290</v>
      </c>
      <c r="V48" s="82"/>
    </row>
    <row r="49" spans="1:76" x14ac:dyDescent="0.35">
      <c r="A49" s="187" t="s">
        <v>20</v>
      </c>
      <c r="B49" s="218">
        <f>B48*0.18</f>
        <v>135.35999999999999</v>
      </c>
      <c r="C49" s="201">
        <f t="shared" ref="C49:U49" si="49">C48*0.18</f>
        <v>135.35999999999999</v>
      </c>
      <c r="D49" s="201">
        <f t="shared" si="49"/>
        <v>135.35999999999999</v>
      </c>
      <c r="E49" s="201">
        <f t="shared" si="49"/>
        <v>135.35999999999999</v>
      </c>
      <c r="F49" s="201">
        <f t="shared" si="49"/>
        <v>135.35999999999999</v>
      </c>
      <c r="G49" s="201">
        <f t="shared" si="49"/>
        <v>135.35999999999999</v>
      </c>
      <c r="H49" s="218">
        <f t="shared" si="49"/>
        <v>135.35999999999999</v>
      </c>
      <c r="I49" s="201">
        <f t="shared" si="49"/>
        <v>135.35999999999999</v>
      </c>
      <c r="J49" s="201">
        <f t="shared" si="49"/>
        <v>135.35999999999999</v>
      </c>
      <c r="K49" s="201">
        <f t="shared" si="49"/>
        <v>135.35999999999999</v>
      </c>
      <c r="L49" s="201">
        <f t="shared" si="49"/>
        <v>135.35999999999999</v>
      </c>
      <c r="M49" s="218">
        <f t="shared" si="49"/>
        <v>135.35999999999999</v>
      </c>
      <c r="N49" s="201">
        <f t="shared" si="49"/>
        <v>135.35999999999999</v>
      </c>
      <c r="O49" s="201">
        <f t="shared" si="49"/>
        <v>135.35999999999999</v>
      </c>
      <c r="P49" s="201">
        <f t="shared" si="49"/>
        <v>135.35999999999999</v>
      </c>
      <c r="Q49" s="201">
        <f t="shared" si="49"/>
        <v>135.35999999999999</v>
      </c>
      <c r="R49" s="201">
        <f t="shared" si="49"/>
        <v>135.35999999999999</v>
      </c>
      <c r="S49" s="201">
        <f t="shared" si="49"/>
        <v>135.35999999999999</v>
      </c>
      <c r="T49" s="201">
        <f t="shared" si="49"/>
        <v>135.35999999999999</v>
      </c>
      <c r="U49" s="202">
        <f t="shared" si="49"/>
        <v>2572.1999999999998</v>
      </c>
    </row>
    <row r="50" spans="1:76" x14ac:dyDescent="0.35">
      <c r="A50" s="187" t="s">
        <v>21</v>
      </c>
      <c r="B50" s="218">
        <f>B48*0.24</f>
        <v>180.48</v>
      </c>
      <c r="C50" s="201">
        <f t="shared" ref="C50:U50" si="50">C48*0.24</f>
        <v>180.48</v>
      </c>
      <c r="D50" s="201">
        <f t="shared" si="50"/>
        <v>180.48</v>
      </c>
      <c r="E50" s="201">
        <f t="shared" si="50"/>
        <v>180.48</v>
      </c>
      <c r="F50" s="201">
        <f t="shared" si="50"/>
        <v>180.48</v>
      </c>
      <c r="G50" s="201">
        <f t="shared" si="50"/>
        <v>180.48</v>
      </c>
      <c r="H50" s="218">
        <f t="shared" si="50"/>
        <v>180.48</v>
      </c>
      <c r="I50" s="201">
        <f t="shared" si="50"/>
        <v>180.48</v>
      </c>
      <c r="J50" s="201">
        <f t="shared" si="50"/>
        <v>180.48</v>
      </c>
      <c r="K50" s="201">
        <f t="shared" si="50"/>
        <v>180.48</v>
      </c>
      <c r="L50" s="201">
        <f t="shared" si="50"/>
        <v>180.48</v>
      </c>
      <c r="M50" s="218">
        <f t="shared" si="50"/>
        <v>180.48</v>
      </c>
      <c r="N50" s="201">
        <f t="shared" si="50"/>
        <v>180.48</v>
      </c>
      <c r="O50" s="201">
        <f t="shared" si="50"/>
        <v>180.48</v>
      </c>
      <c r="P50" s="201">
        <f t="shared" si="50"/>
        <v>180.48</v>
      </c>
      <c r="Q50" s="201">
        <f t="shared" si="50"/>
        <v>180.48</v>
      </c>
      <c r="R50" s="201">
        <f t="shared" si="50"/>
        <v>180.48</v>
      </c>
      <c r="S50" s="201">
        <f t="shared" si="50"/>
        <v>180.48</v>
      </c>
      <c r="T50" s="201">
        <f t="shared" si="50"/>
        <v>180.48</v>
      </c>
      <c r="U50" s="202">
        <f t="shared" si="50"/>
        <v>3429.6</v>
      </c>
    </row>
    <row r="51" spans="1:76" x14ac:dyDescent="0.35">
      <c r="A51" s="187" t="s">
        <v>26</v>
      </c>
      <c r="B51" s="218">
        <f>B48*0.44</f>
        <v>330.88</v>
      </c>
      <c r="C51" s="201">
        <f t="shared" ref="C51:U51" si="51">C48*0.44</f>
        <v>330.88</v>
      </c>
      <c r="D51" s="201">
        <f t="shared" si="51"/>
        <v>330.88</v>
      </c>
      <c r="E51" s="201">
        <f t="shared" si="51"/>
        <v>330.88</v>
      </c>
      <c r="F51" s="201">
        <f t="shared" si="51"/>
        <v>330.88</v>
      </c>
      <c r="G51" s="201">
        <f t="shared" si="51"/>
        <v>330.88</v>
      </c>
      <c r="H51" s="218">
        <f t="shared" si="51"/>
        <v>330.88</v>
      </c>
      <c r="I51" s="201">
        <f t="shared" si="51"/>
        <v>330.88</v>
      </c>
      <c r="J51" s="201">
        <f t="shared" si="51"/>
        <v>330.88</v>
      </c>
      <c r="K51" s="201">
        <f t="shared" si="51"/>
        <v>330.88</v>
      </c>
      <c r="L51" s="201">
        <f t="shared" si="51"/>
        <v>330.88</v>
      </c>
      <c r="M51" s="218">
        <f t="shared" si="51"/>
        <v>330.88</v>
      </c>
      <c r="N51" s="201">
        <f t="shared" si="51"/>
        <v>330.88</v>
      </c>
      <c r="O51" s="201">
        <f t="shared" si="51"/>
        <v>330.88</v>
      </c>
      <c r="P51" s="201">
        <f t="shared" si="51"/>
        <v>330.88</v>
      </c>
      <c r="Q51" s="201">
        <f t="shared" si="51"/>
        <v>330.88</v>
      </c>
      <c r="R51" s="201">
        <f t="shared" si="51"/>
        <v>330.88</v>
      </c>
      <c r="S51" s="201">
        <f t="shared" si="51"/>
        <v>330.88</v>
      </c>
      <c r="T51" s="201">
        <f t="shared" si="51"/>
        <v>330.88</v>
      </c>
      <c r="U51" s="202">
        <f t="shared" si="51"/>
        <v>6287.6</v>
      </c>
    </row>
    <row r="52" spans="1:76" s="80" customFormat="1" x14ac:dyDescent="0.35">
      <c r="A52" s="190" t="s">
        <v>22</v>
      </c>
      <c r="B52" s="218">
        <f>B48*0.13</f>
        <v>97.76</v>
      </c>
      <c r="C52" s="201">
        <f t="shared" ref="C52:U52" si="52">C48*0.13</f>
        <v>97.76</v>
      </c>
      <c r="D52" s="201">
        <f t="shared" si="52"/>
        <v>97.76</v>
      </c>
      <c r="E52" s="201">
        <f t="shared" si="52"/>
        <v>97.76</v>
      </c>
      <c r="F52" s="201">
        <f t="shared" si="52"/>
        <v>97.76</v>
      </c>
      <c r="G52" s="201">
        <f t="shared" si="52"/>
        <v>97.76</v>
      </c>
      <c r="H52" s="218">
        <f t="shared" si="52"/>
        <v>97.76</v>
      </c>
      <c r="I52" s="201">
        <f t="shared" si="52"/>
        <v>97.76</v>
      </c>
      <c r="J52" s="201">
        <f t="shared" si="52"/>
        <v>97.76</v>
      </c>
      <c r="K52" s="201">
        <f t="shared" si="52"/>
        <v>97.76</v>
      </c>
      <c r="L52" s="201">
        <f t="shared" si="52"/>
        <v>97.76</v>
      </c>
      <c r="M52" s="218">
        <f t="shared" si="52"/>
        <v>97.76</v>
      </c>
      <c r="N52" s="201">
        <f t="shared" si="52"/>
        <v>97.76</v>
      </c>
      <c r="O52" s="201">
        <f t="shared" si="52"/>
        <v>97.76</v>
      </c>
      <c r="P52" s="201">
        <f t="shared" si="52"/>
        <v>97.76</v>
      </c>
      <c r="Q52" s="201">
        <f t="shared" si="52"/>
        <v>97.76</v>
      </c>
      <c r="R52" s="201">
        <f t="shared" si="52"/>
        <v>97.76</v>
      </c>
      <c r="S52" s="201">
        <f t="shared" si="52"/>
        <v>97.76</v>
      </c>
      <c r="T52" s="201">
        <f t="shared" si="52"/>
        <v>97.76</v>
      </c>
      <c r="U52" s="202">
        <f t="shared" si="52"/>
        <v>1857.7</v>
      </c>
      <c r="V52" s="146"/>
      <c r="W52" s="148"/>
      <c r="X52" s="147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51"/>
      <c r="AK52" s="148"/>
      <c r="AL52" s="148"/>
      <c r="AM52" s="148"/>
      <c r="AN52" s="151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</row>
    <row r="53" spans="1:76" ht="15.75" customHeight="1" thickBot="1" x14ac:dyDescent="0.4">
      <c r="B53" s="217"/>
      <c r="C53" s="199"/>
      <c r="D53" s="199"/>
      <c r="E53" s="199"/>
      <c r="F53" s="199"/>
      <c r="G53" s="199"/>
      <c r="H53" s="217"/>
      <c r="I53" s="199"/>
      <c r="J53" s="199"/>
      <c r="K53" s="199"/>
      <c r="L53" s="199"/>
      <c r="M53" s="217"/>
      <c r="N53" s="199"/>
      <c r="O53" s="199"/>
      <c r="P53" s="199"/>
      <c r="Q53" s="199"/>
      <c r="R53" s="199"/>
      <c r="S53" s="199"/>
      <c r="T53" s="199"/>
      <c r="U53" s="200"/>
    </row>
    <row r="54" spans="1:76" s="78" customFormat="1" x14ac:dyDescent="0.35">
      <c r="A54" s="191" t="s">
        <v>55</v>
      </c>
      <c r="B54" s="213"/>
      <c r="C54" s="192"/>
      <c r="D54" s="192"/>
      <c r="E54" s="192"/>
      <c r="F54" s="192"/>
      <c r="G54" s="192"/>
      <c r="H54" s="213"/>
      <c r="I54" s="192"/>
      <c r="J54" s="192"/>
      <c r="K54" s="192"/>
      <c r="L54" s="192"/>
      <c r="M54" s="213"/>
      <c r="N54" s="192"/>
      <c r="O54" s="192"/>
      <c r="P54" s="192"/>
      <c r="Q54" s="192"/>
      <c r="R54" s="192"/>
      <c r="S54" s="192"/>
      <c r="T54" s="192"/>
      <c r="U54" s="192"/>
      <c r="V54" s="84"/>
      <c r="W54" s="148"/>
      <c r="X54" s="147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51"/>
      <c r="AK54" s="148"/>
      <c r="AL54" s="148"/>
      <c r="AM54" s="148"/>
      <c r="AN54" s="151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</row>
    <row r="55" spans="1:76" s="77" customFormat="1" x14ac:dyDescent="0.35">
      <c r="A55" s="193" t="s">
        <v>110</v>
      </c>
      <c r="B55" s="214">
        <f>(B49*$AG$27)+('reference data- 2'!B50*$AG$28)+('reference data- 2'!B51*$AG$29)+('reference data- 2'!B52*$AG$30)*30</f>
        <v>2697022.9095682707</v>
      </c>
      <c r="C55" s="214">
        <f>(C49*$AG$27)+('reference data- 2'!C50*$AG$28)+('reference data- 2'!C51*$AG$29)+('reference data- 2'!C52*$AG$30)*30</f>
        <v>2697022.9095682707</v>
      </c>
      <c r="D55" s="214">
        <f>(D49*$AG$27)+('reference data- 2'!D50*$AG$28)+('reference data- 2'!D51*$AG$29)+('reference data- 2'!D52*$AG$30)*30</f>
        <v>2697022.9095682707</v>
      </c>
      <c r="E55" s="214">
        <f>(E49*$AG$27)+('reference data- 2'!E50*$AG$28)+('reference data- 2'!E51*$AG$29)+('reference data- 2'!E52*$AG$30)*30</f>
        <v>2697022.9095682707</v>
      </c>
      <c r="F55" s="214">
        <f>(F49*$AG$27)+('reference data- 2'!F50*$AG$28)+('reference data- 2'!F51*$AG$29)+('reference data- 2'!F52*$AG$30)*30</f>
        <v>2697022.9095682707</v>
      </c>
      <c r="G55" s="214">
        <f>(G49*$AG$27)+('reference data- 2'!G50*$AG$28)+('reference data- 2'!G51*$AG$29)+('reference data- 2'!G52*$AG$30)*30</f>
        <v>2697022.9095682707</v>
      </c>
      <c r="H55" s="214">
        <f>(B49*$AK$27)+('reference data- 2'!B50*$AK$28)+('reference data- 2'!B51*$AK$29)+('reference data- 2'!B52*$AK$30)*30</f>
        <v>2685570.8602890456</v>
      </c>
      <c r="I55" s="214">
        <f>(C49*$AK$27)+('reference data- 2'!C50*$AK$28)+('reference data- 2'!C51*$AK$29)+('reference data- 2'!C52*$AK$30)*30</f>
        <v>2685570.8602890456</v>
      </c>
      <c r="J55" s="214">
        <f>(D49*$AK$27)+('reference data- 2'!D50*$AK$28)+('reference data- 2'!D51*$AK$29)+('reference data- 2'!D52*$AK$30)*30</f>
        <v>2685570.8602890456</v>
      </c>
      <c r="K55" s="214">
        <f>(E49*$AK$27)+('reference data- 2'!E50*$AK$28)+('reference data- 2'!E51*$AK$29)+('reference data- 2'!E52*$AK$30)*30</f>
        <v>2685570.8602890456</v>
      </c>
      <c r="L55" s="214">
        <f>(F49*$AK$27)+('reference data- 2'!F50*$AK$28)+('reference data- 2'!F51*$AK$29)+('reference data- 2'!F52*$AK$30)*30</f>
        <v>2685570.8602890456</v>
      </c>
      <c r="M55" s="214">
        <f>(B49*$AO$27)+('reference data- 2'!B50*$AO$28)+('reference data- 2'!B51*$AO$29)+('reference data- 2'!B52*$AO$30)*30</f>
        <v>2649132.5216733282</v>
      </c>
      <c r="N55" s="214">
        <f>(C49*$AO$27)+('reference data- 2'!C50*$AO$28)+('reference data- 2'!C51*$AO$29)+('reference data- 2'!C52*$AO$30)*30</f>
        <v>2649132.5216733282</v>
      </c>
      <c r="O55" s="214">
        <f>(D49*$AO$27)+('reference data- 2'!D50*$AO$28)+('reference data- 2'!D51*$AO$29)+('reference data- 2'!D52*$AO$30)*30</f>
        <v>2649132.5216733282</v>
      </c>
      <c r="P55" s="214">
        <f>(E49*$AO$27)+('reference data- 2'!E50*$AO$28)+('reference data- 2'!E51*$AO$29)+('reference data- 2'!E52*$AO$30)*30</f>
        <v>2649132.5216733282</v>
      </c>
      <c r="Q55" s="214">
        <f>(F49*$AO$27)+('reference data- 2'!F50*$AO$28)+('reference data- 2'!F51*$AO$29)+('reference data- 2'!F52*$AO$30)*30</f>
        <v>2649132.5216733282</v>
      </c>
      <c r="R55" s="214">
        <f>(G49*$AO$27)+('reference data- 2'!G50*$AO$28)+('reference data- 2'!G51*$AO$29)+('reference data- 2'!G52*$AO$30)*30</f>
        <v>2649132.5216733282</v>
      </c>
      <c r="S55" s="214">
        <f>(H49*$AO$27)+('reference data- 2'!H50*$AO$28)+('reference data- 2'!H51*$AO$29)+('reference data- 2'!H52*$AO$30)*30</f>
        <v>2649132.5216733282</v>
      </c>
      <c r="T55" s="214">
        <f>(I49*$AO$27)+('reference data- 2'!I50*$AO$28)+('reference data- 2'!I51*$AO$29)+('reference data- 2'!I52*$AO$30)*30</f>
        <v>2649132.5216733282</v>
      </c>
      <c r="U55" s="194">
        <f>SUM(B55:T55)</f>
        <v>50803051.932241477</v>
      </c>
      <c r="V55" s="85"/>
      <c r="W55" s="148"/>
      <c r="X55" s="147"/>
      <c r="Y55" s="168"/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151"/>
      <c r="AK55" s="168"/>
      <c r="AL55" s="168"/>
      <c r="AM55" s="168"/>
      <c r="AN55" s="151"/>
      <c r="AO55" s="168"/>
      <c r="AP55" s="168"/>
      <c r="AQ55" s="16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  <c r="BX55" s="148"/>
    </row>
    <row r="56" spans="1:76" s="155" customFormat="1" x14ac:dyDescent="0.35">
      <c r="A56" s="193" t="s">
        <v>111</v>
      </c>
      <c r="B56" s="214">
        <f>B55/1000</f>
        <v>2697.0229095682707</v>
      </c>
      <c r="C56" s="214">
        <f t="shared" ref="C56:M56" si="53">C55/1000</f>
        <v>2697.0229095682707</v>
      </c>
      <c r="D56" s="214">
        <f t="shared" si="53"/>
        <v>2697.0229095682707</v>
      </c>
      <c r="E56" s="214">
        <f t="shared" si="53"/>
        <v>2697.0229095682707</v>
      </c>
      <c r="F56" s="214">
        <f t="shared" si="53"/>
        <v>2697.0229095682707</v>
      </c>
      <c r="G56" s="214">
        <f t="shared" si="53"/>
        <v>2697.0229095682707</v>
      </c>
      <c r="H56" s="214">
        <f t="shared" si="53"/>
        <v>2685.5708602890454</v>
      </c>
      <c r="I56" s="214">
        <f t="shared" si="53"/>
        <v>2685.5708602890454</v>
      </c>
      <c r="J56" s="214">
        <f t="shared" si="53"/>
        <v>2685.5708602890454</v>
      </c>
      <c r="K56" s="214">
        <f t="shared" si="53"/>
        <v>2685.5708602890454</v>
      </c>
      <c r="L56" s="214">
        <f t="shared" si="53"/>
        <v>2685.5708602890454</v>
      </c>
      <c r="M56" s="214">
        <f t="shared" si="53"/>
        <v>2649.132521673328</v>
      </c>
      <c r="N56" s="214">
        <f>N55/1000</f>
        <v>2649.132521673328</v>
      </c>
      <c r="O56" s="214">
        <f t="shared" ref="O56" si="54">O55/1000</f>
        <v>2649.132521673328</v>
      </c>
      <c r="P56" s="214">
        <f t="shared" ref="P56" si="55">P55/1000</f>
        <v>2649.132521673328</v>
      </c>
      <c r="Q56" s="214">
        <f t="shared" ref="Q56" si="56">Q55/1000</f>
        <v>2649.132521673328</v>
      </c>
      <c r="R56" s="214">
        <f t="shared" ref="R56" si="57">R55/1000</f>
        <v>2649.132521673328</v>
      </c>
      <c r="S56" s="214">
        <f t="shared" ref="S56" si="58">S55/1000</f>
        <v>2649.132521673328</v>
      </c>
      <c r="T56" s="214">
        <f t="shared" ref="T56" si="59">T55/1000</f>
        <v>2649.132521673328</v>
      </c>
      <c r="U56" s="214">
        <f t="shared" ref="U56" si="60">U55/1000</f>
        <v>50803.051932241477</v>
      </c>
      <c r="V56" s="162"/>
      <c r="W56" s="168"/>
      <c r="X56" s="147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51"/>
      <c r="AK56" s="168"/>
      <c r="AL56" s="168"/>
      <c r="AM56" s="168"/>
      <c r="AN56" s="151"/>
      <c r="AO56" s="168"/>
      <c r="AP56" s="168"/>
      <c r="AQ56" s="168"/>
      <c r="AR56" s="168"/>
      <c r="AS56" s="168"/>
      <c r="AT56" s="168"/>
      <c r="AU56" s="168"/>
      <c r="AV56" s="168"/>
      <c r="AW56" s="168"/>
      <c r="AX56" s="168"/>
      <c r="AY56" s="168"/>
      <c r="AZ56" s="168"/>
      <c r="BA56" s="168"/>
      <c r="BB56" s="168"/>
      <c r="BC56" s="168"/>
      <c r="BD56" s="168"/>
      <c r="BE56" s="168"/>
      <c r="BF56" s="168"/>
      <c r="BG56" s="168"/>
      <c r="BH56" s="168"/>
      <c r="BI56" s="168"/>
      <c r="BJ56" s="168"/>
      <c r="BK56" s="168"/>
      <c r="BL56" s="168"/>
      <c r="BM56" s="168"/>
      <c r="BN56" s="168"/>
      <c r="BO56" s="168"/>
      <c r="BP56" s="168"/>
      <c r="BQ56" s="168"/>
      <c r="BR56" s="168"/>
      <c r="BS56" s="168"/>
      <c r="BT56" s="168"/>
      <c r="BU56" s="168"/>
      <c r="BV56" s="168"/>
      <c r="BW56" s="168"/>
      <c r="BX56" s="168"/>
    </row>
    <row r="57" spans="1:76" s="77" customFormat="1" x14ac:dyDescent="0.35">
      <c r="A57" s="193" t="s">
        <v>64</v>
      </c>
      <c r="B57" s="215">
        <f>B56*144</f>
        <v>388371.29897783097</v>
      </c>
      <c r="C57" s="215">
        <f t="shared" ref="C57:U57" si="61">C56*144</f>
        <v>388371.29897783097</v>
      </c>
      <c r="D57" s="215">
        <f t="shared" si="61"/>
        <v>388371.29897783097</v>
      </c>
      <c r="E57" s="215">
        <f t="shared" si="61"/>
        <v>388371.29897783097</v>
      </c>
      <c r="F57" s="215">
        <f t="shared" si="61"/>
        <v>388371.29897783097</v>
      </c>
      <c r="G57" s="215">
        <f t="shared" si="61"/>
        <v>388371.29897783097</v>
      </c>
      <c r="H57" s="215">
        <f t="shared" si="61"/>
        <v>386722.20388162252</v>
      </c>
      <c r="I57" s="215">
        <f t="shared" si="61"/>
        <v>386722.20388162252</v>
      </c>
      <c r="J57" s="215">
        <f t="shared" si="61"/>
        <v>386722.20388162252</v>
      </c>
      <c r="K57" s="215">
        <f t="shared" si="61"/>
        <v>386722.20388162252</v>
      </c>
      <c r="L57" s="215">
        <f t="shared" si="61"/>
        <v>386722.20388162252</v>
      </c>
      <c r="M57" s="215">
        <f t="shared" si="61"/>
        <v>381475.08312095923</v>
      </c>
      <c r="N57" s="215">
        <f t="shared" si="61"/>
        <v>381475.08312095923</v>
      </c>
      <c r="O57" s="215">
        <f t="shared" si="61"/>
        <v>381475.08312095923</v>
      </c>
      <c r="P57" s="215">
        <f t="shared" si="61"/>
        <v>381475.08312095923</v>
      </c>
      <c r="Q57" s="215">
        <f t="shared" si="61"/>
        <v>381475.08312095923</v>
      </c>
      <c r="R57" s="215">
        <f t="shared" si="61"/>
        <v>381475.08312095923</v>
      </c>
      <c r="S57" s="215">
        <f t="shared" si="61"/>
        <v>381475.08312095923</v>
      </c>
      <c r="T57" s="215">
        <f t="shared" si="61"/>
        <v>381475.08312095923</v>
      </c>
      <c r="U57" s="215">
        <f t="shared" si="61"/>
        <v>7315639.4782427726</v>
      </c>
      <c r="V57" s="86"/>
      <c r="W57" s="148"/>
      <c r="X57" s="147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51"/>
      <c r="AK57" s="168"/>
      <c r="AL57" s="168"/>
      <c r="AM57" s="168"/>
      <c r="AN57" s="151"/>
      <c r="AO57" s="168"/>
      <c r="AP57" s="168"/>
      <c r="AQ57" s="16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  <c r="BX57" s="148"/>
    </row>
    <row r="58" spans="1:76" s="77" customFormat="1" x14ac:dyDescent="0.35">
      <c r="A58" s="193"/>
      <c r="B58" s="213"/>
      <c r="C58" s="196"/>
      <c r="D58" s="194"/>
      <c r="E58" s="194"/>
      <c r="F58" s="194"/>
      <c r="G58" s="194"/>
      <c r="H58" s="214"/>
      <c r="I58" s="194"/>
      <c r="J58" s="194"/>
      <c r="K58" s="194"/>
      <c r="L58" s="194"/>
      <c r="M58" s="214"/>
      <c r="N58" s="194"/>
      <c r="O58" s="194"/>
      <c r="P58" s="194"/>
      <c r="Q58" s="194"/>
      <c r="R58" s="194"/>
      <c r="S58" s="194"/>
      <c r="T58" s="194"/>
      <c r="U58" s="194"/>
      <c r="V58" s="85"/>
      <c r="W58" s="148"/>
      <c r="X58" s="147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51"/>
      <c r="AK58" s="168"/>
      <c r="AL58" s="168"/>
      <c r="AM58" s="168"/>
      <c r="AN58" s="151"/>
      <c r="AO58" s="168"/>
      <c r="AP58" s="168"/>
      <c r="AQ58" s="16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  <c r="BX58" s="148"/>
    </row>
    <row r="59" spans="1:76" s="79" customFormat="1" ht="15" thickBot="1" x14ac:dyDescent="0.4">
      <c r="A59" s="197"/>
      <c r="B59" s="216"/>
      <c r="C59" s="198"/>
      <c r="D59" s="198"/>
      <c r="E59" s="198"/>
      <c r="F59" s="198"/>
      <c r="G59" s="198"/>
      <c r="H59" s="216"/>
      <c r="I59" s="198"/>
      <c r="J59" s="198"/>
      <c r="K59" s="198"/>
      <c r="L59" s="198"/>
      <c r="M59" s="216"/>
      <c r="N59" s="198"/>
      <c r="O59" s="198"/>
      <c r="P59" s="198"/>
      <c r="Q59" s="198"/>
      <c r="R59" s="198"/>
      <c r="S59" s="198"/>
      <c r="T59" s="198"/>
      <c r="U59" s="198"/>
      <c r="V59" s="87"/>
      <c r="W59" s="148"/>
      <c r="X59" s="147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51"/>
      <c r="AK59" s="168"/>
      <c r="AL59" s="168"/>
      <c r="AM59" s="168"/>
      <c r="AN59" s="151"/>
      <c r="AO59" s="168"/>
      <c r="AP59" s="168"/>
      <c r="AQ59" s="16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</row>
    <row r="60" spans="1:76" x14ac:dyDescent="0.35">
      <c r="A60" s="187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K60" s="168"/>
      <c r="AL60" s="168"/>
      <c r="AM60" s="168"/>
      <c r="AO60" s="168"/>
      <c r="AP60" s="168"/>
      <c r="AQ60" s="168"/>
    </row>
    <row r="61" spans="1:76" x14ac:dyDescent="0.35">
      <c r="A61" s="154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K61" s="168"/>
      <c r="AL61" s="168"/>
      <c r="AM61" s="168"/>
      <c r="AO61" s="168"/>
      <c r="AP61" s="168"/>
      <c r="AQ61" s="168"/>
    </row>
    <row r="62" spans="1:76" x14ac:dyDescent="0.35">
      <c r="A62" s="180" t="s">
        <v>0</v>
      </c>
      <c r="B62" s="209" t="s">
        <v>1</v>
      </c>
      <c r="C62" s="181" t="s">
        <v>2</v>
      </c>
      <c r="D62" s="182" t="s">
        <v>3</v>
      </c>
      <c r="E62" s="182" t="s">
        <v>4</v>
      </c>
      <c r="F62" s="182" t="s">
        <v>5</v>
      </c>
      <c r="G62" s="182" t="s">
        <v>6</v>
      </c>
      <c r="H62" s="209" t="s">
        <v>7</v>
      </c>
      <c r="I62" s="182" t="s">
        <v>8</v>
      </c>
      <c r="J62" s="182" t="s">
        <v>9</v>
      </c>
      <c r="K62" s="182" t="s">
        <v>10</v>
      </c>
      <c r="L62" s="182" t="s">
        <v>11</v>
      </c>
      <c r="M62" s="209" t="s">
        <v>12</v>
      </c>
      <c r="N62" s="182" t="s">
        <v>13</v>
      </c>
      <c r="O62" s="182" t="s">
        <v>14</v>
      </c>
      <c r="P62" s="182" t="s">
        <v>15</v>
      </c>
      <c r="Q62" s="182" t="s">
        <v>16</v>
      </c>
      <c r="R62" s="183" t="s">
        <v>17</v>
      </c>
      <c r="S62" s="184" t="s">
        <v>23</v>
      </c>
      <c r="T62" s="184" t="s">
        <v>24</v>
      </c>
      <c r="U62" s="185" t="s">
        <v>18</v>
      </c>
    </row>
    <row r="63" spans="1:76" x14ac:dyDescent="0.35">
      <c r="A63" s="154" t="s">
        <v>30</v>
      </c>
      <c r="B63" s="217">
        <v>640</v>
      </c>
      <c r="C63" s="199">
        <v>640</v>
      </c>
      <c r="D63" s="199">
        <v>640</v>
      </c>
      <c r="E63" s="199">
        <v>640</v>
      </c>
      <c r="F63" s="199">
        <v>640</v>
      </c>
      <c r="G63" s="199">
        <v>640</v>
      </c>
      <c r="H63" s="217">
        <v>640</v>
      </c>
      <c r="I63" s="199">
        <v>640</v>
      </c>
      <c r="J63" s="199">
        <v>640</v>
      </c>
      <c r="K63" s="199">
        <v>640</v>
      </c>
      <c r="L63" s="199">
        <v>640</v>
      </c>
      <c r="M63" s="217">
        <v>640</v>
      </c>
      <c r="N63" s="199">
        <v>640</v>
      </c>
      <c r="O63" s="199">
        <v>640</v>
      </c>
      <c r="P63" s="199">
        <v>640</v>
      </c>
      <c r="Q63" s="199">
        <v>640</v>
      </c>
      <c r="R63" s="199">
        <v>640</v>
      </c>
      <c r="S63" s="199">
        <v>640</v>
      </c>
      <c r="T63" s="199">
        <v>640</v>
      </c>
      <c r="U63" s="200">
        <v>12160</v>
      </c>
      <c r="V63" s="82"/>
    </row>
    <row r="64" spans="1:76" x14ac:dyDescent="0.35">
      <c r="A64" s="187" t="s">
        <v>20</v>
      </c>
      <c r="B64" s="218">
        <f>B63*0.1</f>
        <v>64</v>
      </c>
      <c r="C64" s="201">
        <f t="shared" ref="C64:U64" si="62">C63*0.1</f>
        <v>64</v>
      </c>
      <c r="D64" s="201">
        <f t="shared" si="62"/>
        <v>64</v>
      </c>
      <c r="E64" s="201">
        <f t="shared" si="62"/>
        <v>64</v>
      </c>
      <c r="F64" s="201">
        <f t="shared" si="62"/>
        <v>64</v>
      </c>
      <c r="G64" s="201">
        <f t="shared" si="62"/>
        <v>64</v>
      </c>
      <c r="H64" s="218">
        <f t="shared" si="62"/>
        <v>64</v>
      </c>
      <c r="I64" s="201">
        <f t="shared" si="62"/>
        <v>64</v>
      </c>
      <c r="J64" s="201">
        <f t="shared" si="62"/>
        <v>64</v>
      </c>
      <c r="K64" s="201">
        <f t="shared" si="62"/>
        <v>64</v>
      </c>
      <c r="L64" s="201">
        <f t="shared" si="62"/>
        <v>64</v>
      </c>
      <c r="M64" s="218">
        <f t="shared" si="62"/>
        <v>64</v>
      </c>
      <c r="N64" s="201">
        <f t="shared" si="62"/>
        <v>64</v>
      </c>
      <c r="O64" s="201">
        <f t="shared" si="62"/>
        <v>64</v>
      </c>
      <c r="P64" s="201">
        <f t="shared" si="62"/>
        <v>64</v>
      </c>
      <c r="Q64" s="201">
        <f t="shared" si="62"/>
        <v>64</v>
      </c>
      <c r="R64" s="201">
        <f t="shared" si="62"/>
        <v>64</v>
      </c>
      <c r="S64" s="201">
        <f t="shared" si="62"/>
        <v>64</v>
      </c>
      <c r="T64" s="201">
        <f t="shared" si="62"/>
        <v>64</v>
      </c>
      <c r="U64" s="202">
        <f t="shared" si="62"/>
        <v>1216</v>
      </c>
    </row>
    <row r="65" spans="1:76" x14ac:dyDescent="0.35">
      <c r="A65" s="187" t="s">
        <v>21</v>
      </c>
      <c r="B65" s="218">
        <f>B63*0.27</f>
        <v>172.8</v>
      </c>
      <c r="C65" s="201">
        <f t="shared" ref="C65:U65" si="63">C63*0.27</f>
        <v>172.8</v>
      </c>
      <c r="D65" s="201">
        <f t="shared" si="63"/>
        <v>172.8</v>
      </c>
      <c r="E65" s="201">
        <f t="shared" si="63"/>
        <v>172.8</v>
      </c>
      <c r="F65" s="201">
        <f t="shared" si="63"/>
        <v>172.8</v>
      </c>
      <c r="G65" s="201">
        <f t="shared" si="63"/>
        <v>172.8</v>
      </c>
      <c r="H65" s="218">
        <f t="shared" si="63"/>
        <v>172.8</v>
      </c>
      <c r="I65" s="201">
        <f t="shared" si="63"/>
        <v>172.8</v>
      </c>
      <c r="J65" s="201">
        <f t="shared" si="63"/>
        <v>172.8</v>
      </c>
      <c r="K65" s="201">
        <f t="shared" si="63"/>
        <v>172.8</v>
      </c>
      <c r="L65" s="201">
        <f t="shared" si="63"/>
        <v>172.8</v>
      </c>
      <c r="M65" s="218">
        <f t="shared" si="63"/>
        <v>172.8</v>
      </c>
      <c r="N65" s="201">
        <f t="shared" si="63"/>
        <v>172.8</v>
      </c>
      <c r="O65" s="201">
        <f t="shared" si="63"/>
        <v>172.8</v>
      </c>
      <c r="P65" s="201">
        <f t="shared" si="63"/>
        <v>172.8</v>
      </c>
      <c r="Q65" s="201">
        <f t="shared" si="63"/>
        <v>172.8</v>
      </c>
      <c r="R65" s="201">
        <f t="shared" si="63"/>
        <v>172.8</v>
      </c>
      <c r="S65" s="201">
        <f t="shared" si="63"/>
        <v>172.8</v>
      </c>
      <c r="T65" s="201">
        <f t="shared" si="63"/>
        <v>172.8</v>
      </c>
      <c r="U65" s="202">
        <f t="shared" si="63"/>
        <v>3283.2000000000003</v>
      </c>
    </row>
    <row r="66" spans="1:76" x14ac:dyDescent="0.35">
      <c r="A66" s="187" t="s">
        <v>26</v>
      </c>
      <c r="B66" s="218">
        <f>B63*0.39</f>
        <v>249.60000000000002</v>
      </c>
      <c r="C66" s="201">
        <f t="shared" ref="C66:U66" si="64">C63*0.39</f>
        <v>249.60000000000002</v>
      </c>
      <c r="D66" s="201">
        <f t="shared" si="64"/>
        <v>249.60000000000002</v>
      </c>
      <c r="E66" s="201">
        <f t="shared" si="64"/>
        <v>249.60000000000002</v>
      </c>
      <c r="F66" s="201">
        <f t="shared" si="64"/>
        <v>249.60000000000002</v>
      </c>
      <c r="G66" s="201">
        <f t="shared" si="64"/>
        <v>249.60000000000002</v>
      </c>
      <c r="H66" s="218">
        <f t="shared" si="64"/>
        <v>249.60000000000002</v>
      </c>
      <c r="I66" s="201">
        <f t="shared" si="64"/>
        <v>249.60000000000002</v>
      </c>
      <c r="J66" s="201">
        <f t="shared" si="64"/>
        <v>249.60000000000002</v>
      </c>
      <c r="K66" s="201">
        <f t="shared" si="64"/>
        <v>249.60000000000002</v>
      </c>
      <c r="L66" s="201">
        <f t="shared" si="64"/>
        <v>249.60000000000002</v>
      </c>
      <c r="M66" s="218">
        <f t="shared" si="64"/>
        <v>249.60000000000002</v>
      </c>
      <c r="N66" s="201">
        <f t="shared" si="64"/>
        <v>249.60000000000002</v>
      </c>
      <c r="O66" s="201">
        <f t="shared" si="64"/>
        <v>249.60000000000002</v>
      </c>
      <c r="P66" s="201">
        <f t="shared" si="64"/>
        <v>249.60000000000002</v>
      </c>
      <c r="Q66" s="201">
        <f t="shared" si="64"/>
        <v>249.60000000000002</v>
      </c>
      <c r="R66" s="201">
        <f t="shared" si="64"/>
        <v>249.60000000000002</v>
      </c>
      <c r="S66" s="201">
        <f t="shared" si="64"/>
        <v>249.60000000000002</v>
      </c>
      <c r="T66" s="201">
        <f t="shared" si="64"/>
        <v>249.60000000000002</v>
      </c>
      <c r="U66" s="202">
        <f t="shared" si="64"/>
        <v>4742.4000000000005</v>
      </c>
    </row>
    <row r="67" spans="1:76" s="80" customFormat="1" x14ac:dyDescent="0.35">
      <c r="A67" s="190" t="s">
        <v>22</v>
      </c>
      <c r="B67" s="218">
        <f>B63*0.14</f>
        <v>89.600000000000009</v>
      </c>
      <c r="C67" s="201">
        <f t="shared" ref="C67:U67" si="65">C63*0.14</f>
        <v>89.600000000000009</v>
      </c>
      <c r="D67" s="201">
        <f t="shared" si="65"/>
        <v>89.600000000000009</v>
      </c>
      <c r="E67" s="201">
        <f t="shared" si="65"/>
        <v>89.600000000000009</v>
      </c>
      <c r="F67" s="201">
        <f t="shared" si="65"/>
        <v>89.600000000000009</v>
      </c>
      <c r="G67" s="201">
        <f t="shared" si="65"/>
        <v>89.600000000000009</v>
      </c>
      <c r="H67" s="218">
        <f t="shared" si="65"/>
        <v>89.600000000000009</v>
      </c>
      <c r="I67" s="201">
        <f t="shared" si="65"/>
        <v>89.600000000000009</v>
      </c>
      <c r="J67" s="201">
        <f t="shared" si="65"/>
        <v>89.600000000000009</v>
      </c>
      <c r="K67" s="201">
        <f t="shared" si="65"/>
        <v>89.600000000000009</v>
      </c>
      <c r="L67" s="201">
        <f t="shared" si="65"/>
        <v>89.600000000000009</v>
      </c>
      <c r="M67" s="218">
        <f t="shared" si="65"/>
        <v>89.600000000000009</v>
      </c>
      <c r="N67" s="201">
        <f t="shared" si="65"/>
        <v>89.600000000000009</v>
      </c>
      <c r="O67" s="201">
        <f t="shared" si="65"/>
        <v>89.600000000000009</v>
      </c>
      <c r="P67" s="201">
        <f t="shared" si="65"/>
        <v>89.600000000000009</v>
      </c>
      <c r="Q67" s="201">
        <f t="shared" si="65"/>
        <v>89.600000000000009</v>
      </c>
      <c r="R67" s="201">
        <f t="shared" si="65"/>
        <v>89.600000000000009</v>
      </c>
      <c r="S67" s="201">
        <f t="shared" si="65"/>
        <v>89.600000000000009</v>
      </c>
      <c r="T67" s="201">
        <f t="shared" si="65"/>
        <v>89.600000000000009</v>
      </c>
      <c r="U67" s="202">
        <f t="shared" si="65"/>
        <v>1702.4</v>
      </c>
      <c r="V67" s="146"/>
      <c r="W67" s="148"/>
      <c r="X67" s="147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51"/>
      <c r="AK67" s="148"/>
      <c r="AL67" s="148"/>
      <c r="AM67" s="148"/>
      <c r="AN67" s="151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  <c r="BX67" s="148"/>
    </row>
    <row r="68" spans="1:76" ht="15" thickBot="1" x14ac:dyDescent="0.4"/>
    <row r="69" spans="1:76" s="78" customFormat="1" x14ac:dyDescent="0.35">
      <c r="A69" s="191" t="s">
        <v>55</v>
      </c>
      <c r="B69" s="213"/>
      <c r="C69" s="192"/>
      <c r="D69" s="192"/>
      <c r="E69" s="192"/>
      <c r="F69" s="192"/>
      <c r="G69" s="192"/>
      <c r="H69" s="213"/>
      <c r="I69" s="192"/>
      <c r="J69" s="192"/>
      <c r="K69" s="192"/>
      <c r="L69" s="192"/>
      <c r="M69" s="213"/>
      <c r="N69" s="192"/>
      <c r="O69" s="192"/>
      <c r="P69" s="192"/>
      <c r="Q69" s="192"/>
      <c r="R69" s="192"/>
      <c r="S69" s="192"/>
      <c r="T69" s="192"/>
      <c r="U69" s="192"/>
      <c r="V69" s="84"/>
      <c r="W69" s="148"/>
      <c r="X69" s="147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51"/>
      <c r="AK69" s="148"/>
      <c r="AL69" s="148"/>
      <c r="AM69" s="148"/>
      <c r="AN69" s="151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  <c r="BX69" s="148"/>
    </row>
    <row r="70" spans="1:76" s="77" customFormat="1" x14ac:dyDescent="0.35">
      <c r="A70" s="193" t="s">
        <v>112</v>
      </c>
      <c r="B70" s="214">
        <f>(B64*$AG$27)+('reference data- 2'!B65*$AG$28)+('reference data- 2'!B66*$AG$29)+('reference data- 2'!B67*$AG$30)*30</f>
        <v>2335731.3384461571</v>
      </c>
      <c r="C70" s="214">
        <f>(C64*$AG$27)+('reference data- 2'!C65*$AG$28)+('reference data- 2'!C66*$AG$29)+('reference data- 2'!C67*$AG$30)*30</f>
        <v>2335731.3384461571</v>
      </c>
      <c r="D70" s="214">
        <f>(D64*$AG$27)+('reference data- 2'!D65*$AG$28)+('reference data- 2'!D66*$AG$29)+('reference data- 2'!D67*$AG$30)*30</f>
        <v>2335731.3384461571</v>
      </c>
      <c r="E70" s="214">
        <f>(E64*$AG$27)+('reference data- 2'!E65*$AG$28)+('reference data- 2'!E66*$AG$29)+('reference data- 2'!E67*$AG$30)*30</f>
        <v>2335731.3384461571</v>
      </c>
      <c r="F70" s="214">
        <f>(F64*$AG$27)+('reference data- 2'!F65*$AG$28)+('reference data- 2'!F66*$AG$29)+('reference data- 2'!F67*$AG$30)*30</f>
        <v>2335731.3384461571</v>
      </c>
      <c r="G70" s="214">
        <f>(G64*$AG$27)+('reference data- 2'!G65*$AG$28)+('reference data- 2'!G66*$AG$29)+('reference data- 2'!G67*$AG$30)*30</f>
        <v>2335731.3384461571</v>
      </c>
      <c r="H70" s="214">
        <f>(B64*$AK$27)+('reference data- 2'!B65*$AK$28)+('reference data- 2'!B66*$AK$29)+('reference data- 2'!B67*$AK$30)*30</f>
        <v>2325706.0542040318</v>
      </c>
      <c r="I70" s="214">
        <f>(C64*$AK$27)+('reference data- 2'!C65*$AK$28)+('reference data- 2'!C66*$AK$29)+('reference data- 2'!C67*$AK$30)*30</f>
        <v>2325706.0542040318</v>
      </c>
      <c r="J70" s="214">
        <f>(D64*$AK$27)+('reference data- 2'!D65*$AK$28)+('reference data- 2'!D66*$AK$29)+('reference data- 2'!D67*$AK$30)*30</f>
        <v>2325706.0542040318</v>
      </c>
      <c r="K70" s="214">
        <f>(E64*$AK$27)+('reference data- 2'!E65*$AK$28)+('reference data- 2'!E66*$AK$29)+('reference data- 2'!E67*$AK$30)*30</f>
        <v>2325706.0542040318</v>
      </c>
      <c r="L70" s="214">
        <f>(F64*$AK$27)+('reference data- 2'!F65*$AK$28)+('reference data- 2'!F66*$AK$29)+('reference data- 2'!F67*$AK$30)*30</f>
        <v>2325706.0542040318</v>
      </c>
      <c r="M70" s="214">
        <f>(B64*$AO$27)+('reference data- 2'!B65*$AO$28)+('reference data- 2'!B66*$AO$29)+('reference data- 2'!B67*$AO$30)*30</f>
        <v>2293807.4225245439</v>
      </c>
      <c r="N70" s="214">
        <f>(C64*$AO$27)+('reference data- 2'!C65*$AO$28)+('reference data- 2'!C66*$AO$29)+('reference data- 2'!C67*$AO$30)*30</f>
        <v>2293807.4225245439</v>
      </c>
      <c r="O70" s="214">
        <f>(D64*$AO$27)+('reference data- 2'!D65*$AO$28)+('reference data- 2'!D66*$AO$29)+('reference data- 2'!D67*$AO$30)*30</f>
        <v>2293807.4225245439</v>
      </c>
      <c r="P70" s="214">
        <f>(E64*$AO$27)+('reference data- 2'!E65*$AO$28)+('reference data- 2'!E66*$AO$29)+('reference data- 2'!E67*$AO$30)*30</f>
        <v>2293807.4225245439</v>
      </c>
      <c r="Q70" s="214">
        <f>(F64*$AO$27)+('reference data- 2'!F65*$AO$28)+('reference data- 2'!F66*$AO$29)+('reference data- 2'!F67*$AO$30)*30</f>
        <v>2293807.4225245439</v>
      </c>
      <c r="R70" s="214">
        <f>(G64*$AO$27)+('reference data- 2'!G65*$AO$28)+('reference data- 2'!G66*$AO$29)+('reference data- 2'!G67*$AO$30)*30</f>
        <v>2293807.4225245439</v>
      </c>
      <c r="S70" s="214">
        <f>(H64*$AO$27)+('reference data- 2'!H65*$AO$28)+('reference data- 2'!H66*$AO$29)+('reference data- 2'!H67*$AO$30)*30</f>
        <v>2293807.4225245439</v>
      </c>
      <c r="T70" s="214">
        <f>(I64*$AO$27)+('reference data- 2'!I65*$AO$28)+('reference data- 2'!I66*$AO$29)+('reference data- 2'!I67*$AO$30)*30</f>
        <v>2293807.4225245439</v>
      </c>
      <c r="U70" s="194">
        <f>SUM(B70:T70)</f>
        <v>43993377.681893446</v>
      </c>
      <c r="V70" s="85"/>
      <c r="W70" s="148"/>
      <c r="X70" s="147"/>
      <c r="Y70" s="168"/>
      <c r="Z70" s="168"/>
      <c r="AA70" s="168"/>
      <c r="AB70" s="168"/>
      <c r="AC70" s="168"/>
      <c r="AD70" s="168"/>
      <c r="AE70" s="168"/>
      <c r="AF70" s="168"/>
      <c r="AG70" s="168"/>
      <c r="AH70" s="168"/>
      <c r="AI70" s="168"/>
      <c r="AJ70" s="151"/>
      <c r="AK70" s="168"/>
      <c r="AL70" s="168"/>
      <c r="AM70" s="168"/>
      <c r="AN70" s="151"/>
      <c r="AO70" s="168"/>
      <c r="AP70" s="168"/>
      <c r="AQ70" s="16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  <c r="BX70" s="148"/>
    </row>
    <row r="71" spans="1:76" s="155" customFormat="1" x14ac:dyDescent="0.35">
      <c r="A71" s="193" t="s">
        <v>111</v>
      </c>
      <c r="B71" s="214">
        <f>B70/1000</f>
        <v>2335.7313384461572</v>
      </c>
      <c r="C71" s="214">
        <f t="shared" ref="C71" si="66">C70/1000</f>
        <v>2335.7313384461572</v>
      </c>
      <c r="D71" s="214">
        <f t="shared" ref="D71" si="67">D70/1000</f>
        <v>2335.7313384461572</v>
      </c>
      <c r="E71" s="214">
        <f t="shared" ref="E71" si="68">E70/1000</f>
        <v>2335.7313384461572</v>
      </c>
      <c r="F71" s="214">
        <f t="shared" ref="F71" si="69">F70/1000</f>
        <v>2335.7313384461572</v>
      </c>
      <c r="G71" s="214">
        <f t="shared" ref="G71" si="70">G70/1000</f>
        <v>2335.7313384461572</v>
      </c>
      <c r="H71" s="214">
        <f t="shared" ref="H71" si="71">H70/1000</f>
        <v>2325.7060542040317</v>
      </c>
      <c r="I71" s="214">
        <f t="shared" ref="I71" si="72">I70/1000</f>
        <v>2325.7060542040317</v>
      </c>
      <c r="J71" s="214">
        <f t="shared" ref="J71" si="73">J70/1000</f>
        <v>2325.7060542040317</v>
      </c>
      <c r="K71" s="214">
        <f t="shared" ref="K71" si="74">K70/1000</f>
        <v>2325.7060542040317</v>
      </c>
      <c r="L71" s="214">
        <f t="shared" ref="L71" si="75">L70/1000</f>
        <v>2325.7060542040317</v>
      </c>
      <c r="M71" s="214">
        <f t="shared" ref="M71" si="76">M70/1000</f>
        <v>2293.8074225245441</v>
      </c>
      <c r="N71" s="214">
        <f>N70/1000</f>
        <v>2293.8074225245441</v>
      </c>
      <c r="O71" s="214">
        <f t="shared" ref="O71" si="77">O70/1000</f>
        <v>2293.8074225245441</v>
      </c>
      <c r="P71" s="214">
        <f t="shared" ref="P71" si="78">P70/1000</f>
        <v>2293.8074225245441</v>
      </c>
      <c r="Q71" s="214">
        <f t="shared" ref="Q71" si="79">Q70/1000</f>
        <v>2293.8074225245441</v>
      </c>
      <c r="R71" s="214">
        <f t="shared" ref="R71" si="80">R70/1000</f>
        <v>2293.8074225245441</v>
      </c>
      <c r="S71" s="214">
        <f t="shared" ref="S71" si="81">S70/1000</f>
        <v>2293.8074225245441</v>
      </c>
      <c r="T71" s="214">
        <f t="shared" ref="T71" si="82">T70/1000</f>
        <v>2293.8074225245441</v>
      </c>
      <c r="U71" s="214">
        <f t="shared" ref="U71" si="83">U70/1000</f>
        <v>43993.377681893442</v>
      </c>
      <c r="V71" s="162"/>
      <c r="W71" s="168"/>
      <c r="X71" s="147"/>
      <c r="Y71" s="168"/>
      <c r="Z71" s="168"/>
      <c r="AA71" s="168"/>
      <c r="AB71" s="168"/>
      <c r="AC71" s="168"/>
      <c r="AD71" s="168"/>
      <c r="AE71" s="168"/>
      <c r="AF71" s="168"/>
      <c r="AG71" s="168"/>
      <c r="AH71" s="168"/>
      <c r="AI71" s="168"/>
      <c r="AJ71" s="151"/>
      <c r="AK71" s="168"/>
      <c r="AL71" s="168"/>
      <c r="AM71" s="168"/>
      <c r="AN71" s="151"/>
      <c r="AO71" s="168"/>
      <c r="AP71" s="168"/>
      <c r="AQ71" s="168"/>
      <c r="AR71" s="168"/>
      <c r="AS71" s="168"/>
      <c r="AT71" s="168"/>
      <c r="AU71" s="168"/>
      <c r="AV71" s="168"/>
      <c r="AW71" s="168"/>
      <c r="AX71" s="168"/>
      <c r="AY71" s="168"/>
      <c r="AZ71" s="168"/>
      <c r="BA71" s="168"/>
      <c r="BB71" s="168"/>
      <c r="BC71" s="168"/>
      <c r="BD71" s="168"/>
      <c r="BE71" s="168"/>
      <c r="BF71" s="168"/>
      <c r="BG71" s="168"/>
      <c r="BH71" s="168"/>
      <c r="BI71" s="168"/>
      <c r="BJ71" s="168"/>
      <c r="BK71" s="168"/>
      <c r="BL71" s="168"/>
      <c r="BM71" s="168"/>
      <c r="BN71" s="168"/>
      <c r="BO71" s="168"/>
      <c r="BP71" s="168"/>
      <c r="BQ71" s="168"/>
      <c r="BR71" s="168"/>
      <c r="BS71" s="168"/>
      <c r="BT71" s="168"/>
      <c r="BU71" s="168"/>
      <c r="BV71" s="168"/>
      <c r="BW71" s="168"/>
      <c r="BX71" s="168"/>
    </row>
    <row r="72" spans="1:76" s="77" customFormat="1" x14ac:dyDescent="0.35">
      <c r="A72" s="193" t="s">
        <v>64</v>
      </c>
      <c r="B72" s="215">
        <f>B71*144</f>
        <v>336345.31273624662</v>
      </c>
      <c r="C72" s="215">
        <f t="shared" ref="C72:U72" si="84">C71*144</f>
        <v>336345.31273624662</v>
      </c>
      <c r="D72" s="215">
        <f t="shared" si="84"/>
        <v>336345.31273624662</v>
      </c>
      <c r="E72" s="215">
        <f t="shared" si="84"/>
        <v>336345.31273624662</v>
      </c>
      <c r="F72" s="215">
        <f t="shared" si="84"/>
        <v>336345.31273624662</v>
      </c>
      <c r="G72" s="215">
        <f t="shared" si="84"/>
        <v>336345.31273624662</v>
      </c>
      <c r="H72" s="215">
        <f t="shared" si="84"/>
        <v>334901.67180538055</v>
      </c>
      <c r="I72" s="215">
        <f t="shared" si="84"/>
        <v>334901.67180538055</v>
      </c>
      <c r="J72" s="215">
        <f t="shared" si="84"/>
        <v>334901.67180538055</v>
      </c>
      <c r="K72" s="215">
        <f t="shared" si="84"/>
        <v>334901.67180538055</v>
      </c>
      <c r="L72" s="215">
        <f t="shared" si="84"/>
        <v>334901.67180538055</v>
      </c>
      <c r="M72" s="215">
        <f t="shared" si="84"/>
        <v>330308.26884353434</v>
      </c>
      <c r="N72" s="215">
        <f t="shared" si="84"/>
        <v>330308.26884353434</v>
      </c>
      <c r="O72" s="215">
        <f t="shared" si="84"/>
        <v>330308.26884353434</v>
      </c>
      <c r="P72" s="215">
        <f t="shared" si="84"/>
        <v>330308.26884353434</v>
      </c>
      <c r="Q72" s="215">
        <f t="shared" si="84"/>
        <v>330308.26884353434</v>
      </c>
      <c r="R72" s="215">
        <f t="shared" si="84"/>
        <v>330308.26884353434</v>
      </c>
      <c r="S72" s="215">
        <f t="shared" si="84"/>
        <v>330308.26884353434</v>
      </c>
      <c r="T72" s="215">
        <f t="shared" si="84"/>
        <v>330308.26884353434</v>
      </c>
      <c r="U72" s="215">
        <f t="shared" si="84"/>
        <v>6335046.3861926552</v>
      </c>
      <c r="V72" s="86"/>
      <c r="W72" s="148"/>
      <c r="X72" s="147"/>
      <c r="Y72" s="168"/>
      <c r="Z72" s="168"/>
      <c r="AA72" s="168"/>
      <c r="AB72" s="168"/>
      <c r="AC72" s="168"/>
      <c r="AD72" s="168"/>
      <c r="AE72" s="168"/>
      <c r="AF72" s="168"/>
      <c r="AG72" s="168"/>
      <c r="AH72" s="168"/>
      <c r="AI72" s="168"/>
      <c r="AJ72" s="151"/>
      <c r="AK72" s="168"/>
      <c r="AL72" s="168"/>
      <c r="AM72" s="168"/>
      <c r="AN72" s="151"/>
      <c r="AO72" s="168"/>
      <c r="AP72" s="168"/>
      <c r="AQ72" s="16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  <c r="BI72" s="148"/>
      <c r="BJ72" s="148"/>
      <c r="BK72" s="148"/>
      <c r="BL72" s="148"/>
      <c r="BM72" s="148"/>
      <c r="BN72" s="148"/>
      <c r="BO72" s="148"/>
      <c r="BP72" s="148"/>
      <c r="BQ72" s="148"/>
      <c r="BR72" s="148"/>
      <c r="BS72" s="148"/>
      <c r="BT72" s="148"/>
      <c r="BU72" s="148"/>
      <c r="BV72" s="148"/>
      <c r="BW72" s="148"/>
      <c r="BX72" s="148"/>
    </row>
    <row r="73" spans="1:76" s="77" customFormat="1" x14ac:dyDescent="0.35">
      <c r="A73" s="193"/>
      <c r="B73" s="213"/>
      <c r="C73" s="196"/>
      <c r="D73" s="194"/>
      <c r="E73" s="194"/>
      <c r="F73" s="194"/>
      <c r="G73" s="194"/>
      <c r="H73" s="214"/>
      <c r="I73" s="194"/>
      <c r="J73" s="194"/>
      <c r="K73" s="194"/>
      <c r="L73" s="194"/>
      <c r="M73" s="214"/>
      <c r="N73" s="194"/>
      <c r="O73" s="194"/>
      <c r="P73" s="194"/>
      <c r="Q73" s="194"/>
      <c r="R73" s="194"/>
      <c r="S73" s="194"/>
      <c r="T73" s="194"/>
      <c r="U73" s="194"/>
      <c r="V73" s="85"/>
      <c r="W73" s="148"/>
      <c r="X73" s="147"/>
      <c r="Y73" s="168"/>
      <c r="Z73" s="168"/>
      <c r="AA73" s="168"/>
      <c r="AB73" s="168"/>
      <c r="AC73" s="168"/>
      <c r="AD73" s="168"/>
      <c r="AE73" s="168"/>
      <c r="AF73" s="168"/>
      <c r="AG73" s="168"/>
      <c r="AH73" s="168"/>
      <c r="AI73" s="168"/>
      <c r="AJ73" s="151"/>
      <c r="AK73" s="168"/>
      <c r="AL73" s="168"/>
      <c r="AM73" s="168"/>
      <c r="AN73" s="151"/>
      <c r="AO73" s="168"/>
      <c r="AP73" s="168"/>
      <c r="AQ73" s="16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8"/>
      <c r="BJ73" s="148"/>
      <c r="BK73" s="148"/>
      <c r="BL73" s="148"/>
      <c r="BM73" s="148"/>
      <c r="BN73" s="148"/>
      <c r="BO73" s="148"/>
      <c r="BP73" s="148"/>
      <c r="BQ73" s="148"/>
      <c r="BR73" s="148"/>
      <c r="BS73" s="148"/>
      <c r="BT73" s="148"/>
      <c r="BU73" s="148"/>
      <c r="BV73" s="148"/>
      <c r="BW73" s="148"/>
      <c r="BX73" s="148"/>
    </row>
    <row r="74" spans="1:76" s="79" customFormat="1" ht="15" thickBot="1" x14ac:dyDescent="0.4">
      <c r="A74" s="197"/>
      <c r="B74" s="216"/>
      <c r="C74" s="198"/>
      <c r="D74" s="198"/>
      <c r="E74" s="198"/>
      <c r="F74" s="198"/>
      <c r="G74" s="198"/>
      <c r="H74" s="216"/>
      <c r="I74" s="198"/>
      <c r="J74" s="198"/>
      <c r="K74" s="198"/>
      <c r="L74" s="198"/>
      <c r="M74" s="216"/>
      <c r="N74" s="198"/>
      <c r="O74" s="198"/>
      <c r="P74" s="198"/>
      <c r="Q74" s="198"/>
      <c r="R74" s="198"/>
      <c r="S74" s="198"/>
      <c r="T74" s="198"/>
      <c r="U74" s="198"/>
      <c r="V74" s="87"/>
      <c r="W74" s="148"/>
      <c r="X74" s="147"/>
      <c r="Y74" s="168"/>
      <c r="Z74" s="168"/>
      <c r="AA74" s="168"/>
      <c r="AB74" s="168"/>
      <c r="AC74" s="168"/>
      <c r="AD74" s="168"/>
      <c r="AE74" s="168"/>
      <c r="AF74" s="168"/>
      <c r="AG74" s="168"/>
      <c r="AH74" s="168"/>
      <c r="AI74" s="168"/>
      <c r="AJ74" s="151"/>
      <c r="AK74" s="168"/>
      <c r="AL74" s="168"/>
      <c r="AM74" s="168"/>
      <c r="AN74" s="151"/>
      <c r="AO74" s="168"/>
      <c r="AP74" s="168"/>
      <c r="AQ74" s="16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</row>
    <row r="75" spans="1:76" x14ac:dyDescent="0.35">
      <c r="A75" s="187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K75" s="168"/>
      <c r="AL75" s="168"/>
      <c r="AM75" s="168"/>
      <c r="AO75" s="168"/>
      <c r="AP75" s="168"/>
      <c r="AQ75" s="168"/>
    </row>
    <row r="76" spans="1:76" x14ac:dyDescent="0.35">
      <c r="A76" s="187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K76" s="168"/>
      <c r="AL76" s="168"/>
      <c r="AM76" s="168"/>
      <c r="AO76" s="168"/>
      <c r="AP76" s="168"/>
      <c r="AQ76" s="168"/>
    </row>
    <row r="77" spans="1:76" x14ac:dyDescent="0.35">
      <c r="A77" s="180" t="s">
        <v>0</v>
      </c>
      <c r="B77" s="209" t="s">
        <v>1</v>
      </c>
      <c r="C77" s="181" t="s">
        <v>2</v>
      </c>
      <c r="D77" s="182" t="s">
        <v>3</v>
      </c>
      <c r="E77" s="182" t="s">
        <v>4</v>
      </c>
      <c r="F77" s="182" t="s">
        <v>5</v>
      </c>
      <c r="G77" s="182" t="s">
        <v>6</v>
      </c>
      <c r="H77" s="209" t="s">
        <v>7</v>
      </c>
      <c r="I77" s="182" t="s">
        <v>8</v>
      </c>
      <c r="J77" s="182" t="s">
        <v>9</v>
      </c>
      <c r="K77" s="182" t="s">
        <v>10</v>
      </c>
      <c r="L77" s="182" t="s">
        <v>11</v>
      </c>
      <c r="M77" s="209" t="s">
        <v>12</v>
      </c>
      <c r="N77" s="182" t="s">
        <v>13</v>
      </c>
      <c r="O77" s="182" t="s">
        <v>14</v>
      </c>
      <c r="P77" s="182" t="s">
        <v>15</v>
      </c>
      <c r="Q77" s="182" t="s">
        <v>16</v>
      </c>
      <c r="R77" s="183" t="s">
        <v>17</v>
      </c>
      <c r="S77" s="184" t="s">
        <v>23</v>
      </c>
      <c r="T77" s="184" t="s">
        <v>24</v>
      </c>
      <c r="U77" s="185" t="s">
        <v>18</v>
      </c>
    </row>
    <row r="78" spans="1:76" x14ac:dyDescent="0.35">
      <c r="A78" s="154" t="s">
        <v>31</v>
      </c>
      <c r="B78" s="217">
        <v>1720</v>
      </c>
      <c r="C78" s="199">
        <v>1720</v>
      </c>
      <c r="D78" s="199">
        <v>1720</v>
      </c>
      <c r="E78" s="199">
        <v>1720</v>
      </c>
      <c r="F78" s="199">
        <v>1720</v>
      </c>
      <c r="G78" s="199">
        <v>1720</v>
      </c>
      <c r="H78" s="217">
        <v>1720</v>
      </c>
      <c r="I78" s="199">
        <v>1720</v>
      </c>
      <c r="J78" s="199">
        <v>1720</v>
      </c>
      <c r="K78" s="199">
        <v>1720</v>
      </c>
      <c r="L78" s="199">
        <v>1720</v>
      </c>
      <c r="M78" s="217">
        <v>1720</v>
      </c>
      <c r="N78" s="199">
        <v>1720</v>
      </c>
      <c r="O78" s="199">
        <v>1720</v>
      </c>
      <c r="P78" s="199">
        <v>1720</v>
      </c>
      <c r="Q78" s="199">
        <v>1720</v>
      </c>
      <c r="R78" s="199">
        <v>1720</v>
      </c>
      <c r="S78" s="199">
        <v>1720</v>
      </c>
      <c r="T78" s="199">
        <v>1720</v>
      </c>
      <c r="U78" s="200">
        <v>32680</v>
      </c>
      <c r="V78" s="82"/>
    </row>
    <row r="79" spans="1:76" x14ac:dyDescent="0.35">
      <c r="A79" s="187" t="s">
        <v>20</v>
      </c>
      <c r="B79" s="218">
        <f>B78*0.11</f>
        <v>189.2</v>
      </c>
      <c r="C79" s="201">
        <f t="shared" ref="C79:U79" si="85">C78*0.11</f>
        <v>189.2</v>
      </c>
      <c r="D79" s="201">
        <f t="shared" si="85"/>
        <v>189.2</v>
      </c>
      <c r="E79" s="201">
        <f t="shared" si="85"/>
        <v>189.2</v>
      </c>
      <c r="F79" s="201">
        <f t="shared" si="85"/>
        <v>189.2</v>
      </c>
      <c r="G79" s="201">
        <f t="shared" si="85"/>
        <v>189.2</v>
      </c>
      <c r="H79" s="218">
        <f t="shared" si="85"/>
        <v>189.2</v>
      </c>
      <c r="I79" s="201">
        <f t="shared" si="85"/>
        <v>189.2</v>
      </c>
      <c r="J79" s="201">
        <f t="shared" si="85"/>
        <v>189.2</v>
      </c>
      <c r="K79" s="201">
        <f t="shared" si="85"/>
        <v>189.2</v>
      </c>
      <c r="L79" s="201">
        <f t="shared" si="85"/>
        <v>189.2</v>
      </c>
      <c r="M79" s="218">
        <f t="shared" si="85"/>
        <v>189.2</v>
      </c>
      <c r="N79" s="201">
        <f t="shared" si="85"/>
        <v>189.2</v>
      </c>
      <c r="O79" s="201">
        <f t="shared" si="85"/>
        <v>189.2</v>
      </c>
      <c r="P79" s="201">
        <f t="shared" si="85"/>
        <v>189.2</v>
      </c>
      <c r="Q79" s="201">
        <f t="shared" si="85"/>
        <v>189.2</v>
      </c>
      <c r="R79" s="201">
        <f t="shared" si="85"/>
        <v>189.2</v>
      </c>
      <c r="S79" s="201">
        <f t="shared" si="85"/>
        <v>189.2</v>
      </c>
      <c r="T79" s="201">
        <f t="shared" si="85"/>
        <v>189.2</v>
      </c>
      <c r="U79" s="202">
        <f t="shared" si="85"/>
        <v>3594.8</v>
      </c>
    </row>
    <row r="80" spans="1:76" x14ac:dyDescent="0.35">
      <c r="A80" s="187" t="s">
        <v>21</v>
      </c>
      <c r="B80" s="218">
        <f>B78*0.28</f>
        <v>481.6</v>
      </c>
      <c r="C80" s="201">
        <f t="shared" ref="C80:U80" si="86">C78*0.28</f>
        <v>481.6</v>
      </c>
      <c r="D80" s="201">
        <f t="shared" si="86"/>
        <v>481.6</v>
      </c>
      <c r="E80" s="201">
        <f t="shared" si="86"/>
        <v>481.6</v>
      </c>
      <c r="F80" s="201">
        <f t="shared" si="86"/>
        <v>481.6</v>
      </c>
      <c r="G80" s="201">
        <f t="shared" si="86"/>
        <v>481.6</v>
      </c>
      <c r="H80" s="218">
        <f t="shared" si="86"/>
        <v>481.6</v>
      </c>
      <c r="I80" s="201">
        <f t="shared" si="86"/>
        <v>481.6</v>
      </c>
      <c r="J80" s="201">
        <f t="shared" si="86"/>
        <v>481.6</v>
      </c>
      <c r="K80" s="201">
        <f t="shared" si="86"/>
        <v>481.6</v>
      </c>
      <c r="L80" s="201">
        <f t="shared" si="86"/>
        <v>481.6</v>
      </c>
      <c r="M80" s="218">
        <f t="shared" si="86"/>
        <v>481.6</v>
      </c>
      <c r="N80" s="201">
        <f t="shared" si="86"/>
        <v>481.6</v>
      </c>
      <c r="O80" s="201">
        <f t="shared" si="86"/>
        <v>481.6</v>
      </c>
      <c r="P80" s="201">
        <f t="shared" si="86"/>
        <v>481.6</v>
      </c>
      <c r="Q80" s="201">
        <f t="shared" si="86"/>
        <v>481.6</v>
      </c>
      <c r="R80" s="201">
        <f t="shared" si="86"/>
        <v>481.6</v>
      </c>
      <c r="S80" s="201">
        <f t="shared" si="86"/>
        <v>481.6</v>
      </c>
      <c r="T80" s="201">
        <f t="shared" si="86"/>
        <v>481.6</v>
      </c>
      <c r="U80" s="202">
        <f t="shared" si="86"/>
        <v>9150.4000000000015</v>
      </c>
    </row>
    <row r="81" spans="1:76" x14ac:dyDescent="0.35">
      <c r="A81" s="187" t="s">
        <v>26</v>
      </c>
      <c r="B81" s="218">
        <f>B78*0.31</f>
        <v>533.20000000000005</v>
      </c>
      <c r="C81" s="201">
        <f t="shared" ref="C81:U81" si="87">C78*0.31</f>
        <v>533.20000000000005</v>
      </c>
      <c r="D81" s="201">
        <f t="shared" si="87"/>
        <v>533.20000000000005</v>
      </c>
      <c r="E81" s="201">
        <f t="shared" si="87"/>
        <v>533.20000000000005</v>
      </c>
      <c r="F81" s="201">
        <f t="shared" si="87"/>
        <v>533.20000000000005</v>
      </c>
      <c r="G81" s="201">
        <f t="shared" si="87"/>
        <v>533.20000000000005</v>
      </c>
      <c r="H81" s="218">
        <f t="shared" si="87"/>
        <v>533.20000000000005</v>
      </c>
      <c r="I81" s="201">
        <f t="shared" si="87"/>
        <v>533.20000000000005</v>
      </c>
      <c r="J81" s="201">
        <f t="shared" si="87"/>
        <v>533.20000000000005</v>
      </c>
      <c r="K81" s="201">
        <f t="shared" si="87"/>
        <v>533.20000000000005</v>
      </c>
      <c r="L81" s="201">
        <f t="shared" si="87"/>
        <v>533.20000000000005</v>
      </c>
      <c r="M81" s="218">
        <f t="shared" si="87"/>
        <v>533.20000000000005</v>
      </c>
      <c r="N81" s="201">
        <f t="shared" si="87"/>
        <v>533.20000000000005</v>
      </c>
      <c r="O81" s="201">
        <f t="shared" si="87"/>
        <v>533.20000000000005</v>
      </c>
      <c r="P81" s="201">
        <f t="shared" si="87"/>
        <v>533.20000000000005</v>
      </c>
      <c r="Q81" s="201">
        <f t="shared" si="87"/>
        <v>533.20000000000005</v>
      </c>
      <c r="R81" s="201">
        <f t="shared" si="87"/>
        <v>533.20000000000005</v>
      </c>
      <c r="S81" s="201">
        <f t="shared" si="87"/>
        <v>533.20000000000005</v>
      </c>
      <c r="T81" s="201">
        <f t="shared" si="87"/>
        <v>533.20000000000005</v>
      </c>
      <c r="U81" s="202">
        <f t="shared" si="87"/>
        <v>10130.799999999999</v>
      </c>
    </row>
    <row r="82" spans="1:76" s="80" customFormat="1" x14ac:dyDescent="0.35">
      <c r="A82" s="190" t="s">
        <v>22</v>
      </c>
      <c r="B82" s="218">
        <f>B78*0.31</f>
        <v>533.20000000000005</v>
      </c>
      <c r="C82" s="201">
        <f t="shared" ref="C82:U82" si="88">C78*0.31</f>
        <v>533.20000000000005</v>
      </c>
      <c r="D82" s="201">
        <f t="shared" si="88"/>
        <v>533.20000000000005</v>
      </c>
      <c r="E82" s="201">
        <f t="shared" si="88"/>
        <v>533.20000000000005</v>
      </c>
      <c r="F82" s="201">
        <f t="shared" si="88"/>
        <v>533.20000000000005</v>
      </c>
      <c r="G82" s="201">
        <f t="shared" si="88"/>
        <v>533.20000000000005</v>
      </c>
      <c r="H82" s="218">
        <f t="shared" si="88"/>
        <v>533.20000000000005</v>
      </c>
      <c r="I82" s="201">
        <f t="shared" si="88"/>
        <v>533.20000000000005</v>
      </c>
      <c r="J82" s="201">
        <f t="shared" si="88"/>
        <v>533.20000000000005</v>
      </c>
      <c r="K82" s="201">
        <f t="shared" si="88"/>
        <v>533.20000000000005</v>
      </c>
      <c r="L82" s="201">
        <f t="shared" si="88"/>
        <v>533.20000000000005</v>
      </c>
      <c r="M82" s="218">
        <f t="shared" si="88"/>
        <v>533.20000000000005</v>
      </c>
      <c r="N82" s="201">
        <f t="shared" si="88"/>
        <v>533.20000000000005</v>
      </c>
      <c r="O82" s="201">
        <f t="shared" si="88"/>
        <v>533.20000000000005</v>
      </c>
      <c r="P82" s="201">
        <f t="shared" si="88"/>
        <v>533.20000000000005</v>
      </c>
      <c r="Q82" s="201">
        <f t="shared" si="88"/>
        <v>533.20000000000005</v>
      </c>
      <c r="R82" s="201">
        <f t="shared" si="88"/>
        <v>533.20000000000005</v>
      </c>
      <c r="S82" s="201">
        <f t="shared" si="88"/>
        <v>533.20000000000005</v>
      </c>
      <c r="T82" s="201">
        <f t="shared" si="88"/>
        <v>533.20000000000005</v>
      </c>
      <c r="U82" s="202">
        <f t="shared" si="88"/>
        <v>10130.799999999999</v>
      </c>
      <c r="V82" s="146"/>
      <c r="W82" s="148"/>
      <c r="X82" s="147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51"/>
      <c r="AK82" s="148"/>
      <c r="AL82" s="148"/>
      <c r="AM82" s="148"/>
      <c r="AN82" s="151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  <c r="BI82" s="148"/>
      <c r="BJ82" s="148"/>
      <c r="BK82" s="148"/>
      <c r="BL82" s="148"/>
      <c r="BM82" s="148"/>
      <c r="BN82" s="148"/>
      <c r="BO82" s="148"/>
      <c r="BP82" s="148"/>
      <c r="BQ82" s="148"/>
      <c r="BR82" s="148"/>
      <c r="BS82" s="148"/>
      <c r="BT82" s="148"/>
      <c r="BU82" s="148"/>
      <c r="BV82" s="148"/>
      <c r="BW82" s="148"/>
      <c r="BX82" s="148"/>
    </row>
    <row r="83" spans="1:76" ht="15" thickBot="1" x14ac:dyDescent="0.4"/>
    <row r="84" spans="1:76" s="78" customFormat="1" x14ac:dyDescent="0.35">
      <c r="A84" s="191" t="s">
        <v>55</v>
      </c>
      <c r="B84" s="213"/>
      <c r="C84" s="192"/>
      <c r="D84" s="192"/>
      <c r="E84" s="192"/>
      <c r="F84" s="192"/>
      <c r="G84" s="192"/>
      <c r="H84" s="213"/>
      <c r="I84" s="192"/>
      <c r="J84" s="192"/>
      <c r="K84" s="192"/>
      <c r="L84" s="192"/>
      <c r="M84" s="213"/>
      <c r="N84" s="192"/>
      <c r="O84" s="192"/>
      <c r="P84" s="192"/>
      <c r="Q84" s="192"/>
      <c r="R84" s="192"/>
      <c r="S84" s="192"/>
      <c r="T84" s="192"/>
      <c r="U84" s="192"/>
      <c r="V84" s="84"/>
      <c r="W84" s="148"/>
      <c r="X84" s="147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51"/>
      <c r="AK84" s="148"/>
      <c r="AL84" s="148"/>
      <c r="AM84" s="148"/>
      <c r="AN84" s="151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  <c r="BI84" s="148"/>
      <c r="BJ84" s="148"/>
      <c r="BK84" s="148"/>
      <c r="BL84" s="148"/>
      <c r="BM84" s="148"/>
      <c r="BN84" s="148"/>
      <c r="BO84" s="148"/>
      <c r="BP84" s="148"/>
      <c r="BQ84" s="148"/>
      <c r="BR84" s="148"/>
      <c r="BS84" s="148"/>
      <c r="BT84" s="148"/>
      <c r="BU84" s="148"/>
      <c r="BV84" s="148"/>
      <c r="BW84" s="148"/>
      <c r="BX84" s="148"/>
    </row>
    <row r="85" spans="1:76" s="77" customFormat="1" x14ac:dyDescent="0.35">
      <c r="A85" s="193" t="s">
        <v>112</v>
      </c>
      <c r="B85" s="214">
        <f>(B79*$AG$27)+('reference data- 2'!B80*$AG$28)+('reference data- 2'!B81*$AG$29)+('reference data- 2'!B82*$AG$30)*30</f>
        <v>11978917.760151751</v>
      </c>
      <c r="C85" s="214">
        <f>(C79*$AG$27)+('reference data- 2'!C80*$AG$28)+('reference data- 2'!C81*$AG$29)+('reference data- 2'!C82*$AG$30)*30</f>
        <v>11978917.760151751</v>
      </c>
      <c r="D85" s="214">
        <f>(D79*$AG$27)+('reference data- 2'!D80*$AG$28)+('reference data- 2'!D81*$AG$29)+('reference data- 2'!D82*$AG$30)*30</f>
        <v>11978917.760151751</v>
      </c>
      <c r="E85" s="214">
        <f>(E79*$AG$27)+('reference data- 2'!E80*$AG$28)+('reference data- 2'!E81*$AG$29)+('reference data- 2'!E82*$AG$30)*30</f>
        <v>11978917.760151751</v>
      </c>
      <c r="F85" s="214">
        <f>(F79*$AG$27)+('reference data- 2'!F80*$AG$28)+('reference data- 2'!F81*$AG$29)+('reference data- 2'!F82*$AG$30)*30</f>
        <v>11978917.760151751</v>
      </c>
      <c r="G85" s="214">
        <f>(G79*$AG$27)+('reference data- 2'!G80*$AG$28)+('reference data- 2'!G81*$AG$29)+('reference data- 2'!G82*$AG$30)*30</f>
        <v>11978917.760151751</v>
      </c>
      <c r="H85" s="214">
        <f>(B79*$AK$27)+('reference data- 2'!B80*$AK$28)+('reference data- 2'!B81*$AK$29)+('reference data- 2'!B82*$AK$30)*30</f>
        <v>11926257.996902095</v>
      </c>
      <c r="I85" s="214">
        <f>(C79*$AK$27)+('reference data- 2'!C80*$AK$28)+('reference data- 2'!C81*$AK$29)+('reference data- 2'!C82*$AK$30)*30</f>
        <v>11926257.996902095</v>
      </c>
      <c r="J85" s="214">
        <f>(D79*$AK$27)+('reference data- 2'!D80*$AK$28)+('reference data- 2'!D81*$AK$29)+('reference data- 2'!D82*$AK$30)*30</f>
        <v>11926257.996902095</v>
      </c>
      <c r="K85" s="214">
        <f>(E79*$AK$27)+('reference data- 2'!E80*$AK$28)+('reference data- 2'!E81*$AK$29)+('reference data- 2'!E82*$AK$30)*30</f>
        <v>11926257.996902095</v>
      </c>
      <c r="L85" s="214">
        <f>(F79*$AK$27)+('reference data- 2'!F80*$AK$28)+('reference data- 2'!F81*$AK$29)+('reference data- 2'!F82*$AK$30)*30</f>
        <v>11926257.996902095</v>
      </c>
      <c r="M85" s="214">
        <f>(B79*$AO$27)+('reference data- 2'!B80*$AO$28)+('reference data- 2'!B81*$AO$29)+('reference data- 2'!B82*$AO$30)*30</f>
        <v>11758704.204744089</v>
      </c>
      <c r="N85" s="214">
        <f>(C79*$AO$27)+('reference data- 2'!C80*$AO$28)+('reference data- 2'!C81*$AO$29)+('reference data- 2'!C82*$AO$30)*30</f>
        <v>11758704.204744089</v>
      </c>
      <c r="O85" s="214">
        <f>(D79*$AO$27)+('reference data- 2'!D80*$AO$28)+('reference data- 2'!D81*$AO$29)+('reference data- 2'!D82*$AO$30)*30</f>
        <v>11758704.204744089</v>
      </c>
      <c r="P85" s="214">
        <f>(E79*$AO$27)+('reference data- 2'!E80*$AO$28)+('reference data- 2'!E81*$AO$29)+('reference data- 2'!E82*$AO$30)*30</f>
        <v>11758704.204744089</v>
      </c>
      <c r="Q85" s="214">
        <f>(F79*$AO$27)+('reference data- 2'!F80*$AO$28)+('reference data- 2'!F81*$AO$29)+('reference data- 2'!F82*$AO$30)*30</f>
        <v>11758704.204744089</v>
      </c>
      <c r="R85" s="214">
        <f>(G79*$AO$27)+('reference data- 2'!G80*$AO$28)+('reference data- 2'!G81*$AO$29)+('reference data- 2'!G82*$AO$30)*30</f>
        <v>11758704.204744089</v>
      </c>
      <c r="S85" s="214">
        <f>(H79*$AO$27)+('reference data- 2'!H80*$AO$28)+('reference data- 2'!H81*$AO$29)+('reference data- 2'!H82*$AO$30)*30</f>
        <v>11758704.204744089</v>
      </c>
      <c r="T85" s="214">
        <f>(I79*$AO$27)+('reference data- 2'!I80*$AO$28)+('reference data- 2'!I81*$AO$29)+('reference data- 2'!I82*$AO$30)*30</f>
        <v>11758704.204744089</v>
      </c>
      <c r="U85" s="194">
        <f>SUM(B85:T85)</f>
        <v>225574430.18337378</v>
      </c>
      <c r="V85" s="85"/>
      <c r="W85" s="148"/>
      <c r="X85" s="147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51"/>
      <c r="AK85" s="168"/>
      <c r="AL85" s="168"/>
      <c r="AM85" s="168"/>
      <c r="AN85" s="151"/>
      <c r="AO85" s="16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  <c r="BI85" s="148"/>
      <c r="BJ85" s="148"/>
      <c r="BK85" s="148"/>
      <c r="BL85" s="148"/>
      <c r="BM85" s="148"/>
      <c r="BN85" s="148"/>
      <c r="BO85" s="148"/>
      <c r="BP85" s="148"/>
      <c r="BQ85" s="148"/>
      <c r="BR85" s="148"/>
      <c r="BS85" s="148"/>
      <c r="BT85" s="148"/>
      <c r="BU85" s="148"/>
      <c r="BV85" s="148"/>
      <c r="BW85" s="148"/>
      <c r="BX85" s="148"/>
    </row>
    <row r="86" spans="1:76" s="77" customFormat="1" x14ac:dyDescent="0.35">
      <c r="A86" s="193" t="s">
        <v>111</v>
      </c>
      <c r="B86" s="214">
        <f>B85/1000</f>
        <v>11978.917760151751</v>
      </c>
      <c r="C86" s="214">
        <f t="shared" ref="C86" si="89">C85/1000</f>
        <v>11978.917760151751</v>
      </c>
      <c r="D86" s="214">
        <f t="shared" ref="D86" si="90">D85/1000</f>
        <v>11978.917760151751</v>
      </c>
      <c r="E86" s="214">
        <f t="shared" ref="E86" si="91">E85/1000</f>
        <v>11978.917760151751</v>
      </c>
      <c r="F86" s="214">
        <f t="shared" ref="F86" si="92">F85/1000</f>
        <v>11978.917760151751</v>
      </c>
      <c r="G86" s="214">
        <f t="shared" ref="G86" si="93">G85/1000</f>
        <v>11978.917760151751</v>
      </c>
      <c r="H86" s="214">
        <f t="shared" ref="H86" si="94">H85/1000</f>
        <v>11926.257996902095</v>
      </c>
      <c r="I86" s="214">
        <f t="shared" ref="I86" si="95">I85/1000</f>
        <v>11926.257996902095</v>
      </c>
      <c r="J86" s="214">
        <f t="shared" ref="J86" si="96">J85/1000</f>
        <v>11926.257996902095</v>
      </c>
      <c r="K86" s="214">
        <f t="shared" ref="K86" si="97">K85/1000</f>
        <v>11926.257996902095</v>
      </c>
      <c r="L86" s="214">
        <f t="shared" ref="L86" si="98">L85/1000</f>
        <v>11926.257996902095</v>
      </c>
      <c r="M86" s="214">
        <f t="shared" ref="M86" si="99">M85/1000</f>
        <v>11758.70420474409</v>
      </c>
      <c r="N86" s="214">
        <f>N85/1000</f>
        <v>11758.70420474409</v>
      </c>
      <c r="O86" s="214">
        <f t="shared" ref="O86" si="100">O85/1000</f>
        <v>11758.70420474409</v>
      </c>
      <c r="P86" s="214">
        <f t="shared" ref="P86" si="101">P85/1000</f>
        <v>11758.70420474409</v>
      </c>
      <c r="Q86" s="214">
        <f t="shared" ref="Q86" si="102">Q85/1000</f>
        <v>11758.70420474409</v>
      </c>
      <c r="R86" s="214">
        <f t="shared" ref="R86" si="103">R85/1000</f>
        <v>11758.70420474409</v>
      </c>
      <c r="S86" s="214">
        <f t="shared" ref="S86" si="104">S85/1000</f>
        <v>11758.70420474409</v>
      </c>
      <c r="T86" s="214">
        <f t="shared" ref="T86" si="105">T85/1000</f>
        <v>11758.70420474409</v>
      </c>
      <c r="U86" s="214">
        <f t="shared" ref="U86" si="106">U85/1000</f>
        <v>225574.43018337377</v>
      </c>
      <c r="V86" s="86"/>
      <c r="W86" s="148"/>
      <c r="X86" s="147"/>
      <c r="Y86" s="168"/>
      <c r="Z86" s="168"/>
      <c r="AA86" s="168"/>
      <c r="AB86" s="168"/>
      <c r="AC86" s="168"/>
      <c r="AD86" s="168"/>
      <c r="AE86" s="168"/>
      <c r="AF86" s="168"/>
      <c r="AG86" s="168"/>
      <c r="AH86" s="168"/>
      <c r="AI86" s="168"/>
      <c r="AJ86" s="151"/>
      <c r="AK86" s="168"/>
      <c r="AL86" s="168"/>
      <c r="AM86" s="168"/>
      <c r="AN86" s="151"/>
      <c r="AO86" s="16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  <c r="BI86" s="148"/>
      <c r="BJ86" s="148"/>
      <c r="BK86" s="148"/>
      <c r="BL86" s="148"/>
      <c r="BM86" s="148"/>
      <c r="BN86" s="148"/>
      <c r="BO86" s="148"/>
      <c r="BP86" s="148"/>
      <c r="BQ86" s="148"/>
      <c r="BR86" s="148"/>
      <c r="BS86" s="148"/>
      <c r="BT86" s="148"/>
      <c r="BU86" s="148"/>
      <c r="BV86" s="148"/>
      <c r="BW86" s="148"/>
      <c r="BX86" s="148"/>
    </row>
    <row r="87" spans="1:76" s="77" customFormat="1" x14ac:dyDescent="0.35">
      <c r="A87" s="193" t="s">
        <v>64</v>
      </c>
      <c r="B87" s="215">
        <f>B86*144</f>
        <v>1724964.1574618523</v>
      </c>
      <c r="C87" s="215">
        <f t="shared" ref="C87:U87" si="107">C86*144</f>
        <v>1724964.1574618523</v>
      </c>
      <c r="D87" s="215">
        <f t="shared" si="107"/>
        <v>1724964.1574618523</v>
      </c>
      <c r="E87" s="215">
        <f t="shared" si="107"/>
        <v>1724964.1574618523</v>
      </c>
      <c r="F87" s="215">
        <f t="shared" si="107"/>
        <v>1724964.1574618523</v>
      </c>
      <c r="G87" s="215">
        <f t="shared" si="107"/>
        <v>1724964.1574618523</v>
      </c>
      <c r="H87" s="215">
        <f t="shared" si="107"/>
        <v>1717381.1515539018</v>
      </c>
      <c r="I87" s="215">
        <f t="shared" si="107"/>
        <v>1717381.1515539018</v>
      </c>
      <c r="J87" s="215">
        <f t="shared" si="107"/>
        <v>1717381.1515539018</v>
      </c>
      <c r="K87" s="215">
        <f t="shared" si="107"/>
        <v>1717381.1515539018</v>
      </c>
      <c r="L87" s="215">
        <f t="shared" si="107"/>
        <v>1717381.1515539018</v>
      </c>
      <c r="M87" s="215">
        <f t="shared" si="107"/>
        <v>1693253.405483149</v>
      </c>
      <c r="N87" s="215">
        <f t="shared" si="107"/>
        <v>1693253.405483149</v>
      </c>
      <c r="O87" s="215">
        <f t="shared" si="107"/>
        <v>1693253.405483149</v>
      </c>
      <c r="P87" s="215">
        <f t="shared" si="107"/>
        <v>1693253.405483149</v>
      </c>
      <c r="Q87" s="215">
        <f t="shared" si="107"/>
        <v>1693253.405483149</v>
      </c>
      <c r="R87" s="215">
        <f t="shared" si="107"/>
        <v>1693253.405483149</v>
      </c>
      <c r="S87" s="215">
        <f t="shared" si="107"/>
        <v>1693253.405483149</v>
      </c>
      <c r="T87" s="215">
        <f t="shared" si="107"/>
        <v>1693253.405483149</v>
      </c>
      <c r="U87" s="215">
        <f t="shared" si="107"/>
        <v>32482717.946405824</v>
      </c>
      <c r="V87" s="85"/>
      <c r="W87" s="148"/>
      <c r="X87" s="147"/>
      <c r="Y87" s="168"/>
      <c r="Z87" s="168"/>
      <c r="AA87" s="168"/>
      <c r="AB87" s="168"/>
      <c r="AC87" s="168"/>
      <c r="AD87" s="168"/>
      <c r="AE87" s="168"/>
      <c r="AF87" s="168"/>
      <c r="AG87" s="168"/>
      <c r="AH87" s="168"/>
      <c r="AI87" s="168"/>
      <c r="AJ87" s="151"/>
      <c r="AK87" s="168"/>
      <c r="AL87" s="168"/>
      <c r="AM87" s="168"/>
      <c r="AN87" s="151"/>
      <c r="AO87" s="16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  <c r="BI87" s="148"/>
      <c r="BJ87" s="148"/>
      <c r="BK87" s="148"/>
      <c r="BL87" s="148"/>
      <c r="BM87" s="148"/>
      <c r="BN87" s="148"/>
      <c r="BO87" s="148"/>
      <c r="BP87" s="148"/>
      <c r="BQ87" s="148"/>
      <c r="BR87" s="148"/>
      <c r="BS87" s="148"/>
      <c r="BT87" s="148"/>
      <c r="BU87" s="148"/>
      <c r="BV87" s="148"/>
      <c r="BW87" s="148"/>
      <c r="BX87" s="148"/>
    </row>
    <row r="88" spans="1:76" s="79" customFormat="1" ht="15" thickBot="1" x14ac:dyDescent="0.4">
      <c r="A88" s="193"/>
      <c r="B88" s="213"/>
      <c r="C88" s="196"/>
      <c r="D88" s="194"/>
      <c r="E88" s="194"/>
      <c r="F88" s="194"/>
      <c r="G88" s="194"/>
      <c r="H88" s="214"/>
      <c r="I88" s="194"/>
      <c r="J88" s="194"/>
      <c r="K88" s="194"/>
      <c r="L88" s="194"/>
      <c r="M88" s="214"/>
      <c r="N88" s="194"/>
      <c r="O88" s="194"/>
      <c r="P88" s="194"/>
      <c r="Q88" s="194"/>
      <c r="R88" s="194"/>
      <c r="S88" s="194"/>
      <c r="T88" s="194"/>
      <c r="U88" s="194"/>
      <c r="V88" s="87"/>
      <c r="W88" s="148"/>
      <c r="X88" s="147"/>
      <c r="Y88" s="168"/>
      <c r="Z88" s="168"/>
      <c r="AA88" s="168"/>
      <c r="AB88" s="168"/>
      <c r="AC88" s="168"/>
      <c r="AD88" s="168"/>
      <c r="AE88" s="168"/>
      <c r="AF88" s="168"/>
      <c r="AG88" s="168"/>
      <c r="AH88" s="168"/>
      <c r="AI88" s="168"/>
      <c r="AJ88" s="151"/>
      <c r="AK88" s="168"/>
      <c r="AL88" s="168"/>
      <c r="AM88" s="168"/>
      <c r="AN88" s="151"/>
      <c r="AO88" s="16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  <c r="BI88" s="148"/>
      <c r="BJ88" s="148"/>
      <c r="BK88" s="148"/>
      <c r="BL88" s="148"/>
      <c r="BM88" s="148"/>
      <c r="BN88" s="148"/>
      <c r="BO88" s="148"/>
      <c r="BP88" s="148"/>
      <c r="BQ88" s="148"/>
      <c r="BR88" s="148"/>
      <c r="BS88" s="148"/>
      <c r="BT88" s="148"/>
      <c r="BU88" s="148"/>
      <c r="BV88" s="148"/>
      <c r="BW88" s="148"/>
      <c r="BX88" s="148"/>
    </row>
    <row r="89" spans="1:76" ht="15" thickBot="1" x14ac:dyDescent="0.4">
      <c r="A89" s="197"/>
      <c r="B89" s="216"/>
      <c r="C89" s="198"/>
      <c r="D89" s="198"/>
      <c r="E89" s="198"/>
      <c r="F89" s="198"/>
      <c r="G89" s="198"/>
      <c r="H89" s="216"/>
      <c r="I89" s="198"/>
      <c r="J89" s="198"/>
      <c r="K89" s="198"/>
      <c r="L89" s="198"/>
      <c r="M89" s="216"/>
      <c r="N89" s="198"/>
      <c r="O89" s="198"/>
      <c r="P89" s="198"/>
      <c r="Q89" s="198"/>
      <c r="R89" s="198"/>
      <c r="S89" s="198"/>
      <c r="T89" s="198"/>
      <c r="U89" s="198"/>
    </row>
    <row r="92" spans="1:76" x14ac:dyDescent="0.35">
      <c r="A92" s="180" t="s">
        <v>0</v>
      </c>
      <c r="B92" s="209" t="s">
        <v>1</v>
      </c>
      <c r="C92" s="181" t="s">
        <v>2</v>
      </c>
      <c r="D92" s="182" t="s">
        <v>3</v>
      </c>
      <c r="E92" s="182" t="s">
        <v>4</v>
      </c>
      <c r="F92" s="182" t="s">
        <v>5</v>
      </c>
      <c r="G92" s="182" t="s">
        <v>6</v>
      </c>
      <c r="H92" s="209" t="s">
        <v>7</v>
      </c>
      <c r="I92" s="182" t="s">
        <v>8</v>
      </c>
      <c r="J92" s="182" t="s">
        <v>9</v>
      </c>
      <c r="K92" s="182" t="s">
        <v>10</v>
      </c>
      <c r="L92" s="182" t="s">
        <v>11</v>
      </c>
      <c r="M92" s="209" t="s">
        <v>12</v>
      </c>
      <c r="N92" s="182" t="s">
        <v>13</v>
      </c>
      <c r="O92" s="182" t="s">
        <v>14</v>
      </c>
      <c r="P92" s="182" t="s">
        <v>15</v>
      </c>
      <c r="Q92" s="182" t="s">
        <v>16</v>
      </c>
      <c r="R92" s="183" t="s">
        <v>17</v>
      </c>
      <c r="S92" s="184" t="s">
        <v>23</v>
      </c>
      <c r="T92" s="184" t="s">
        <v>24</v>
      </c>
      <c r="U92" s="185" t="s">
        <v>18</v>
      </c>
      <c r="V92" s="82"/>
    </row>
    <row r="93" spans="1:76" x14ac:dyDescent="0.35">
      <c r="A93" s="154" t="s">
        <v>32</v>
      </c>
      <c r="B93" s="217">
        <v>764</v>
      </c>
      <c r="C93" s="199">
        <v>764</v>
      </c>
      <c r="D93" s="199">
        <v>764</v>
      </c>
      <c r="E93" s="199">
        <v>764</v>
      </c>
      <c r="F93" s="199">
        <v>764</v>
      </c>
      <c r="G93" s="199">
        <v>764</v>
      </c>
      <c r="H93" s="217">
        <v>764</v>
      </c>
      <c r="I93" s="199">
        <v>764</v>
      </c>
      <c r="J93" s="199">
        <v>764</v>
      </c>
      <c r="K93" s="199">
        <v>764</v>
      </c>
      <c r="L93" s="199">
        <v>764</v>
      </c>
      <c r="M93" s="217">
        <v>764</v>
      </c>
      <c r="N93" s="199">
        <v>764</v>
      </c>
      <c r="O93" s="199">
        <v>764</v>
      </c>
      <c r="P93" s="199">
        <v>764</v>
      </c>
      <c r="Q93" s="199">
        <v>764</v>
      </c>
      <c r="R93" s="199">
        <v>764</v>
      </c>
      <c r="S93" s="199">
        <v>764</v>
      </c>
      <c r="T93" s="199">
        <v>764</v>
      </c>
      <c r="U93" s="200">
        <v>14520</v>
      </c>
    </row>
    <row r="94" spans="1:76" x14ac:dyDescent="0.35">
      <c r="A94" s="187" t="s">
        <v>20</v>
      </c>
      <c r="B94" s="218">
        <f>B93*0.24</f>
        <v>183.35999999999999</v>
      </c>
      <c r="C94" s="201">
        <f t="shared" ref="C94:U94" si="108">C93*0.24</f>
        <v>183.35999999999999</v>
      </c>
      <c r="D94" s="201">
        <f t="shared" si="108"/>
        <v>183.35999999999999</v>
      </c>
      <c r="E94" s="201">
        <f t="shared" si="108"/>
        <v>183.35999999999999</v>
      </c>
      <c r="F94" s="201">
        <f t="shared" si="108"/>
        <v>183.35999999999999</v>
      </c>
      <c r="G94" s="201">
        <f t="shared" si="108"/>
        <v>183.35999999999999</v>
      </c>
      <c r="H94" s="218">
        <f t="shared" si="108"/>
        <v>183.35999999999999</v>
      </c>
      <c r="I94" s="201">
        <f t="shared" si="108"/>
        <v>183.35999999999999</v>
      </c>
      <c r="J94" s="201">
        <f t="shared" si="108"/>
        <v>183.35999999999999</v>
      </c>
      <c r="K94" s="201">
        <f t="shared" si="108"/>
        <v>183.35999999999999</v>
      </c>
      <c r="L94" s="201">
        <f t="shared" si="108"/>
        <v>183.35999999999999</v>
      </c>
      <c r="M94" s="218">
        <f t="shared" si="108"/>
        <v>183.35999999999999</v>
      </c>
      <c r="N94" s="201">
        <f t="shared" si="108"/>
        <v>183.35999999999999</v>
      </c>
      <c r="O94" s="201">
        <f t="shared" si="108"/>
        <v>183.35999999999999</v>
      </c>
      <c r="P94" s="201">
        <f t="shared" si="108"/>
        <v>183.35999999999999</v>
      </c>
      <c r="Q94" s="201">
        <f t="shared" si="108"/>
        <v>183.35999999999999</v>
      </c>
      <c r="R94" s="201">
        <f t="shared" si="108"/>
        <v>183.35999999999999</v>
      </c>
      <c r="S94" s="201">
        <f t="shared" si="108"/>
        <v>183.35999999999999</v>
      </c>
      <c r="T94" s="201">
        <f t="shared" si="108"/>
        <v>183.35999999999999</v>
      </c>
      <c r="U94" s="202">
        <f t="shared" si="108"/>
        <v>3484.7999999999997</v>
      </c>
    </row>
    <row r="95" spans="1:76" x14ac:dyDescent="0.35">
      <c r="A95" s="187" t="s">
        <v>21</v>
      </c>
      <c r="B95" s="218">
        <f>B93*0.37</f>
        <v>282.68</v>
      </c>
      <c r="C95" s="201">
        <f t="shared" ref="C95:U95" si="109">C93*0.37</f>
        <v>282.68</v>
      </c>
      <c r="D95" s="201">
        <f t="shared" si="109"/>
        <v>282.68</v>
      </c>
      <c r="E95" s="201">
        <f t="shared" si="109"/>
        <v>282.68</v>
      </c>
      <c r="F95" s="201">
        <f t="shared" si="109"/>
        <v>282.68</v>
      </c>
      <c r="G95" s="201">
        <f t="shared" si="109"/>
        <v>282.68</v>
      </c>
      <c r="H95" s="218">
        <f t="shared" si="109"/>
        <v>282.68</v>
      </c>
      <c r="I95" s="201">
        <f t="shared" si="109"/>
        <v>282.68</v>
      </c>
      <c r="J95" s="201">
        <f t="shared" si="109"/>
        <v>282.68</v>
      </c>
      <c r="K95" s="201">
        <f t="shared" si="109"/>
        <v>282.68</v>
      </c>
      <c r="L95" s="201">
        <f t="shared" si="109"/>
        <v>282.68</v>
      </c>
      <c r="M95" s="218">
        <f t="shared" si="109"/>
        <v>282.68</v>
      </c>
      <c r="N95" s="201">
        <f t="shared" si="109"/>
        <v>282.68</v>
      </c>
      <c r="O95" s="201">
        <f t="shared" si="109"/>
        <v>282.68</v>
      </c>
      <c r="P95" s="201">
        <f t="shared" si="109"/>
        <v>282.68</v>
      </c>
      <c r="Q95" s="201">
        <f t="shared" si="109"/>
        <v>282.68</v>
      </c>
      <c r="R95" s="201">
        <f t="shared" si="109"/>
        <v>282.68</v>
      </c>
      <c r="S95" s="201">
        <f t="shared" si="109"/>
        <v>282.68</v>
      </c>
      <c r="T95" s="201">
        <f t="shared" si="109"/>
        <v>282.68</v>
      </c>
      <c r="U95" s="202">
        <f t="shared" si="109"/>
        <v>5372.4</v>
      </c>
    </row>
    <row r="96" spans="1:76" s="80" customFormat="1" x14ac:dyDescent="0.35">
      <c r="A96" s="187" t="s">
        <v>26</v>
      </c>
      <c r="B96" s="218">
        <f>B93*0.23</f>
        <v>175.72</v>
      </c>
      <c r="C96" s="201">
        <f t="shared" ref="C96:U96" si="110">C93*0.23</f>
        <v>175.72</v>
      </c>
      <c r="D96" s="201">
        <f t="shared" si="110"/>
        <v>175.72</v>
      </c>
      <c r="E96" s="201">
        <f t="shared" si="110"/>
        <v>175.72</v>
      </c>
      <c r="F96" s="201">
        <f t="shared" si="110"/>
        <v>175.72</v>
      </c>
      <c r="G96" s="201">
        <f t="shared" si="110"/>
        <v>175.72</v>
      </c>
      <c r="H96" s="218">
        <f t="shared" si="110"/>
        <v>175.72</v>
      </c>
      <c r="I96" s="201">
        <f t="shared" si="110"/>
        <v>175.72</v>
      </c>
      <c r="J96" s="201">
        <f t="shared" si="110"/>
        <v>175.72</v>
      </c>
      <c r="K96" s="201">
        <f t="shared" si="110"/>
        <v>175.72</v>
      </c>
      <c r="L96" s="201">
        <f t="shared" si="110"/>
        <v>175.72</v>
      </c>
      <c r="M96" s="218">
        <f t="shared" si="110"/>
        <v>175.72</v>
      </c>
      <c r="N96" s="201">
        <f t="shared" si="110"/>
        <v>175.72</v>
      </c>
      <c r="O96" s="201">
        <f t="shared" si="110"/>
        <v>175.72</v>
      </c>
      <c r="P96" s="201">
        <f t="shared" si="110"/>
        <v>175.72</v>
      </c>
      <c r="Q96" s="201">
        <f t="shared" si="110"/>
        <v>175.72</v>
      </c>
      <c r="R96" s="201">
        <f t="shared" si="110"/>
        <v>175.72</v>
      </c>
      <c r="S96" s="201">
        <f t="shared" si="110"/>
        <v>175.72</v>
      </c>
      <c r="T96" s="201">
        <f t="shared" si="110"/>
        <v>175.72</v>
      </c>
      <c r="U96" s="202">
        <f t="shared" si="110"/>
        <v>3339.6000000000004</v>
      </c>
      <c r="V96" s="146"/>
      <c r="W96" s="148"/>
      <c r="X96" s="147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51"/>
      <c r="AK96" s="148"/>
      <c r="AL96" s="148"/>
      <c r="AM96" s="148"/>
      <c r="AN96" s="151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  <c r="BI96" s="148"/>
      <c r="BJ96" s="148"/>
      <c r="BK96" s="148"/>
      <c r="BL96" s="148"/>
      <c r="BM96" s="148"/>
      <c r="BN96" s="148"/>
      <c r="BO96" s="148"/>
      <c r="BP96" s="148"/>
      <c r="BQ96" s="148"/>
      <c r="BR96" s="148"/>
      <c r="BS96" s="148"/>
      <c r="BT96" s="148"/>
      <c r="BU96" s="148"/>
      <c r="BV96" s="148"/>
      <c r="BW96" s="148"/>
      <c r="BX96" s="148"/>
    </row>
    <row r="97" spans="1:76" ht="15" thickBot="1" x14ac:dyDescent="0.4">
      <c r="A97" s="190" t="s">
        <v>22</v>
      </c>
      <c r="B97" s="218">
        <f>B93*0.16</f>
        <v>122.24000000000001</v>
      </c>
      <c r="C97" s="201">
        <f t="shared" ref="C97:U97" si="111">C93*0.16</f>
        <v>122.24000000000001</v>
      </c>
      <c r="D97" s="201">
        <f t="shared" si="111"/>
        <v>122.24000000000001</v>
      </c>
      <c r="E97" s="201">
        <f t="shared" si="111"/>
        <v>122.24000000000001</v>
      </c>
      <c r="F97" s="201">
        <f t="shared" si="111"/>
        <v>122.24000000000001</v>
      </c>
      <c r="G97" s="201">
        <f t="shared" si="111"/>
        <v>122.24000000000001</v>
      </c>
      <c r="H97" s="218">
        <f t="shared" si="111"/>
        <v>122.24000000000001</v>
      </c>
      <c r="I97" s="201">
        <f t="shared" si="111"/>
        <v>122.24000000000001</v>
      </c>
      <c r="J97" s="201">
        <f t="shared" si="111"/>
        <v>122.24000000000001</v>
      </c>
      <c r="K97" s="201">
        <f t="shared" si="111"/>
        <v>122.24000000000001</v>
      </c>
      <c r="L97" s="201">
        <f t="shared" si="111"/>
        <v>122.24000000000001</v>
      </c>
      <c r="M97" s="218">
        <f t="shared" si="111"/>
        <v>122.24000000000001</v>
      </c>
      <c r="N97" s="201">
        <f t="shared" si="111"/>
        <v>122.24000000000001</v>
      </c>
      <c r="O97" s="201">
        <f t="shared" si="111"/>
        <v>122.24000000000001</v>
      </c>
      <c r="P97" s="201">
        <f t="shared" si="111"/>
        <v>122.24000000000001</v>
      </c>
      <c r="Q97" s="201">
        <f t="shared" si="111"/>
        <v>122.24000000000001</v>
      </c>
      <c r="R97" s="201">
        <f t="shared" si="111"/>
        <v>122.24000000000001</v>
      </c>
      <c r="S97" s="201">
        <f t="shared" si="111"/>
        <v>122.24000000000001</v>
      </c>
      <c r="T97" s="201">
        <f t="shared" si="111"/>
        <v>122.24000000000001</v>
      </c>
      <c r="U97" s="202">
        <f t="shared" si="111"/>
        <v>2323.2000000000003</v>
      </c>
    </row>
    <row r="98" spans="1:76" s="78" customFormat="1" ht="15" thickBot="1" x14ac:dyDescent="0.4">
      <c r="A98" s="179"/>
      <c r="B98" s="212"/>
      <c r="C98" s="179"/>
      <c r="D98" s="179"/>
      <c r="E98" s="179"/>
      <c r="F98" s="179"/>
      <c r="G98" s="179"/>
      <c r="H98" s="212"/>
      <c r="I98" s="179"/>
      <c r="J98" s="179"/>
      <c r="K98" s="179"/>
      <c r="L98" s="179"/>
      <c r="M98" s="212"/>
      <c r="N98" s="179"/>
      <c r="O98" s="179"/>
      <c r="P98" s="179"/>
      <c r="Q98" s="179"/>
      <c r="R98" s="179"/>
      <c r="S98" s="179"/>
      <c r="T98" s="179"/>
      <c r="U98" s="179"/>
      <c r="V98" s="84"/>
      <c r="W98" s="148"/>
      <c r="X98" s="147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51"/>
      <c r="AK98" s="148"/>
      <c r="AL98" s="148"/>
      <c r="AM98" s="148"/>
      <c r="AN98" s="151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  <c r="BI98" s="148"/>
      <c r="BJ98" s="148"/>
      <c r="BK98" s="148"/>
      <c r="BL98" s="148"/>
      <c r="BM98" s="148"/>
      <c r="BN98" s="148"/>
      <c r="BO98" s="148"/>
      <c r="BP98" s="148"/>
      <c r="BQ98" s="148"/>
      <c r="BR98" s="148"/>
      <c r="BS98" s="148"/>
      <c r="BT98" s="148"/>
      <c r="BU98" s="148"/>
      <c r="BV98" s="148"/>
      <c r="BW98" s="148"/>
      <c r="BX98" s="148"/>
    </row>
    <row r="99" spans="1:76" s="77" customFormat="1" x14ac:dyDescent="0.35">
      <c r="A99" s="191" t="s">
        <v>55</v>
      </c>
      <c r="B99" s="213"/>
      <c r="C99" s="192"/>
      <c r="D99" s="192"/>
      <c r="E99" s="192"/>
      <c r="F99" s="192"/>
      <c r="G99" s="192"/>
      <c r="H99" s="213"/>
      <c r="I99" s="192"/>
      <c r="J99" s="192"/>
      <c r="K99" s="192"/>
      <c r="L99" s="192"/>
      <c r="M99" s="213"/>
      <c r="N99" s="192"/>
      <c r="O99" s="192"/>
      <c r="P99" s="192"/>
      <c r="Q99" s="192"/>
      <c r="R99" s="192"/>
      <c r="S99" s="192"/>
      <c r="T99" s="192"/>
      <c r="U99" s="192"/>
      <c r="V99" s="85"/>
      <c r="W99" s="148"/>
      <c r="X99" s="147"/>
      <c r="Y99" s="168"/>
      <c r="Z99" s="168"/>
      <c r="AA99" s="168"/>
      <c r="AB99" s="168"/>
      <c r="AC99" s="168"/>
      <c r="AD99" s="168"/>
      <c r="AE99" s="168"/>
      <c r="AF99" s="168"/>
      <c r="AG99" s="168"/>
      <c r="AH99" s="168"/>
      <c r="AI99" s="168"/>
      <c r="AJ99" s="151"/>
      <c r="AK99" s="168"/>
      <c r="AL99" s="168"/>
      <c r="AM99" s="168"/>
      <c r="AN99" s="151"/>
      <c r="AO99" s="16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  <c r="BI99" s="148"/>
      <c r="BJ99" s="148"/>
      <c r="BK99" s="148"/>
      <c r="BL99" s="148"/>
      <c r="BM99" s="148"/>
      <c r="BN99" s="148"/>
      <c r="BO99" s="148"/>
      <c r="BP99" s="148"/>
      <c r="BQ99" s="148"/>
      <c r="BR99" s="148"/>
      <c r="BS99" s="148"/>
      <c r="BT99" s="148"/>
      <c r="BU99" s="148"/>
      <c r="BV99" s="148"/>
      <c r="BW99" s="148"/>
      <c r="BX99" s="148"/>
    </row>
    <row r="100" spans="1:76" s="77" customFormat="1" x14ac:dyDescent="0.35">
      <c r="A100" s="193" t="s">
        <v>112</v>
      </c>
      <c r="B100" s="214">
        <f>(B94*$AG$27)+('reference data- 2'!B95*$AG$28)+('reference data- 2'!B96*$AG$29)+('reference data- 2'!B97*$AG$30)*30</f>
        <v>3179790.8337799259</v>
      </c>
      <c r="C100" s="214">
        <f>(C94*$AG$27)+('reference data- 2'!C95*$AG$28)+('reference data- 2'!C96*$AG$29)+('reference data- 2'!C97*$AG$30)*30</f>
        <v>3179790.8337799259</v>
      </c>
      <c r="D100" s="214">
        <f>(D94*$AG$27)+('reference data- 2'!D95*$AG$28)+('reference data- 2'!D96*$AG$29)+('reference data- 2'!D97*$AG$30)*30</f>
        <v>3179790.8337799259</v>
      </c>
      <c r="E100" s="214">
        <f>(E94*$AG$27)+('reference data- 2'!E95*$AG$28)+('reference data- 2'!E96*$AG$29)+('reference data- 2'!E97*$AG$30)*30</f>
        <v>3179790.8337799259</v>
      </c>
      <c r="F100" s="214">
        <f>(F94*$AG$27)+('reference data- 2'!F95*$AG$28)+('reference data- 2'!F96*$AG$29)+('reference data- 2'!F97*$AG$30)*30</f>
        <v>3179790.8337799259</v>
      </c>
      <c r="G100" s="214">
        <f>(G94*$AG$27)+('reference data- 2'!G95*$AG$28)+('reference data- 2'!G96*$AG$29)+('reference data- 2'!G97*$AG$30)*30</f>
        <v>3179790.8337799259</v>
      </c>
      <c r="H100" s="214">
        <f>(B94*$AK$27)+('reference data- 2'!B95*$AK$28)+('reference data- 2'!B96*$AK$29)+('reference data- 2'!B97*$AK$30)*30</f>
        <v>3166170.4346124567</v>
      </c>
      <c r="I100" s="214">
        <f>(C94*$AK$27)+('reference data- 2'!C95*$AK$28)+('reference data- 2'!C96*$AK$29)+('reference data- 2'!C97*$AK$30)*30</f>
        <v>3166170.4346124567</v>
      </c>
      <c r="J100" s="214">
        <f>(D94*$AK$27)+('reference data- 2'!D95*$AK$28)+('reference data- 2'!D96*$AK$29)+('reference data- 2'!D97*$AK$30)*30</f>
        <v>3166170.4346124567</v>
      </c>
      <c r="K100" s="214">
        <f>(E94*$AK$27)+('reference data- 2'!E95*$AK$28)+('reference data- 2'!E96*$AK$29)+('reference data- 2'!E97*$AK$30)*30</f>
        <v>3166170.4346124567</v>
      </c>
      <c r="L100" s="214">
        <f>(F94*$AK$27)+('reference data- 2'!F95*$AK$28)+('reference data- 2'!F96*$AK$29)+('reference data- 2'!F97*$AK$30)*30</f>
        <v>3166170.4346124567</v>
      </c>
      <c r="M100" s="214">
        <f>(B94*$AO$27)+('reference data- 2'!B95*$AO$28)+('reference data- 2'!B96*$AO$29)+('reference data- 2'!B97*$AO$30)*30</f>
        <v>3122832.8008977799</v>
      </c>
      <c r="N100" s="214">
        <f>(C94*$AO$27)+('reference data- 2'!C95*$AO$28)+('reference data- 2'!C96*$AO$29)+('reference data- 2'!C97*$AO$30)*30</f>
        <v>3122832.8008977799</v>
      </c>
      <c r="O100" s="214">
        <f>(D94*$AO$27)+('reference data- 2'!D95*$AO$28)+('reference data- 2'!D96*$AO$29)+('reference data- 2'!D97*$AO$30)*30</f>
        <v>3122832.8008977799</v>
      </c>
      <c r="P100" s="214">
        <f>(E94*$AO$27)+('reference data- 2'!E95*$AO$28)+('reference data- 2'!E96*$AO$29)+('reference data- 2'!E97*$AO$30)*30</f>
        <v>3122832.8008977799</v>
      </c>
      <c r="Q100" s="214">
        <f>(F94*$AO$27)+('reference data- 2'!F95*$AO$28)+('reference data- 2'!F96*$AO$29)+('reference data- 2'!F97*$AO$30)*30</f>
        <v>3122832.8008977799</v>
      </c>
      <c r="R100" s="214">
        <f>(G94*$AO$27)+('reference data- 2'!G95*$AO$28)+('reference data- 2'!G96*$AO$29)+('reference data- 2'!G97*$AO$30)*30</f>
        <v>3122832.8008977799</v>
      </c>
      <c r="S100" s="214">
        <f>(H94*$AO$27)+('reference data- 2'!H95*$AO$28)+('reference data- 2'!H96*$AO$29)+('reference data- 2'!H97*$AO$30)*30</f>
        <v>3122832.8008977799</v>
      </c>
      <c r="T100" s="214">
        <f>(I94*$AO$27)+('reference data- 2'!I95*$AO$28)+('reference data- 2'!I96*$AO$29)+('reference data- 2'!I97*$AO$30)*30</f>
        <v>3122832.8008977799</v>
      </c>
      <c r="U100" s="194">
        <f>SUM(B100:T100)</f>
        <v>59892259.582924053</v>
      </c>
      <c r="V100" s="86"/>
      <c r="W100" s="148"/>
      <c r="X100" s="147"/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51"/>
      <c r="AK100" s="168"/>
      <c r="AL100" s="168"/>
      <c r="AM100" s="168"/>
      <c r="AN100" s="151"/>
      <c r="AO100" s="16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  <c r="BI100" s="148"/>
      <c r="BJ100" s="148"/>
      <c r="BK100" s="148"/>
      <c r="BL100" s="148"/>
      <c r="BM100" s="148"/>
      <c r="BN100" s="148"/>
      <c r="BO100" s="148"/>
      <c r="BP100" s="148"/>
      <c r="BQ100" s="148"/>
      <c r="BR100" s="148"/>
      <c r="BS100" s="148"/>
      <c r="BT100" s="148"/>
      <c r="BU100" s="148"/>
      <c r="BV100" s="148"/>
      <c r="BW100" s="148"/>
      <c r="BX100" s="148"/>
    </row>
    <row r="101" spans="1:76" s="155" customFormat="1" x14ac:dyDescent="0.35">
      <c r="A101" s="193" t="s">
        <v>111</v>
      </c>
      <c r="B101" s="214">
        <f>B100/1000</f>
        <v>3179.7908337799258</v>
      </c>
      <c r="C101" s="214">
        <f t="shared" ref="C101" si="112">C100/1000</f>
        <v>3179.7908337799258</v>
      </c>
      <c r="D101" s="214">
        <f t="shared" ref="D101" si="113">D100/1000</f>
        <v>3179.7908337799258</v>
      </c>
      <c r="E101" s="214">
        <f t="shared" ref="E101" si="114">E100/1000</f>
        <v>3179.7908337799258</v>
      </c>
      <c r="F101" s="214">
        <f t="shared" ref="F101" si="115">F100/1000</f>
        <v>3179.7908337799258</v>
      </c>
      <c r="G101" s="214">
        <f t="shared" ref="G101" si="116">G100/1000</f>
        <v>3179.7908337799258</v>
      </c>
      <c r="H101" s="214">
        <f t="shared" ref="H101" si="117">H100/1000</f>
        <v>3166.1704346124566</v>
      </c>
      <c r="I101" s="214">
        <f t="shared" ref="I101" si="118">I100/1000</f>
        <v>3166.1704346124566</v>
      </c>
      <c r="J101" s="214">
        <f t="shared" ref="J101" si="119">J100/1000</f>
        <v>3166.1704346124566</v>
      </c>
      <c r="K101" s="214">
        <f t="shared" ref="K101" si="120">K100/1000</f>
        <v>3166.1704346124566</v>
      </c>
      <c r="L101" s="214">
        <f t="shared" ref="L101" si="121">L100/1000</f>
        <v>3166.1704346124566</v>
      </c>
      <c r="M101" s="214">
        <f t="shared" ref="M101" si="122">M100/1000</f>
        <v>3122.8328008977801</v>
      </c>
      <c r="N101" s="214">
        <f>N100/1000</f>
        <v>3122.8328008977801</v>
      </c>
      <c r="O101" s="214">
        <f t="shared" ref="O101" si="123">O100/1000</f>
        <v>3122.8328008977801</v>
      </c>
      <c r="P101" s="214">
        <f t="shared" ref="P101" si="124">P100/1000</f>
        <v>3122.8328008977801</v>
      </c>
      <c r="Q101" s="214">
        <f t="shared" ref="Q101" si="125">Q100/1000</f>
        <v>3122.8328008977801</v>
      </c>
      <c r="R101" s="214">
        <f t="shared" ref="R101" si="126">R100/1000</f>
        <v>3122.8328008977801</v>
      </c>
      <c r="S101" s="214">
        <f t="shared" ref="S101" si="127">S100/1000</f>
        <v>3122.8328008977801</v>
      </c>
      <c r="T101" s="214">
        <f t="shared" ref="T101" si="128">T100/1000</f>
        <v>3122.8328008977801</v>
      </c>
      <c r="U101" s="214">
        <f t="shared" ref="U101" si="129">U100/1000</f>
        <v>59892.259582924053</v>
      </c>
      <c r="V101" s="162"/>
      <c r="W101" s="168"/>
      <c r="X101" s="147"/>
      <c r="Y101" s="168"/>
      <c r="Z101" s="168"/>
      <c r="AA101" s="168"/>
      <c r="AB101" s="168"/>
      <c r="AC101" s="168"/>
      <c r="AD101" s="168"/>
      <c r="AE101" s="168"/>
      <c r="AF101" s="168"/>
      <c r="AG101" s="168"/>
      <c r="AH101" s="168"/>
      <c r="AI101" s="168"/>
      <c r="AJ101" s="151"/>
      <c r="AK101" s="168"/>
      <c r="AL101" s="168"/>
      <c r="AM101" s="168"/>
      <c r="AN101" s="151"/>
      <c r="AO101" s="168"/>
      <c r="AP101" s="168"/>
      <c r="AQ101" s="168"/>
      <c r="AR101" s="168"/>
      <c r="AS101" s="168"/>
      <c r="AT101" s="168"/>
      <c r="AU101" s="168"/>
      <c r="AV101" s="168"/>
      <c r="AW101" s="168"/>
      <c r="AX101" s="168"/>
      <c r="AY101" s="168"/>
      <c r="AZ101" s="168"/>
      <c r="BA101" s="168"/>
      <c r="BB101" s="168"/>
      <c r="BC101" s="168"/>
      <c r="BD101" s="168"/>
      <c r="BE101" s="168"/>
      <c r="BF101" s="168"/>
      <c r="BG101" s="168"/>
      <c r="BH101" s="168"/>
      <c r="BI101" s="168"/>
      <c r="BJ101" s="168"/>
      <c r="BK101" s="168"/>
      <c r="BL101" s="168"/>
      <c r="BM101" s="168"/>
      <c r="BN101" s="168"/>
      <c r="BO101" s="168"/>
      <c r="BP101" s="168"/>
      <c r="BQ101" s="168"/>
      <c r="BR101" s="168"/>
      <c r="BS101" s="168"/>
      <c r="BT101" s="168"/>
      <c r="BU101" s="168"/>
      <c r="BV101" s="168"/>
      <c r="BW101" s="168"/>
      <c r="BX101" s="168"/>
    </row>
    <row r="102" spans="1:76" s="77" customFormat="1" x14ac:dyDescent="0.35">
      <c r="A102" s="193" t="s">
        <v>64</v>
      </c>
      <c r="B102" s="215">
        <f>B101*144</f>
        <v>457889.88006430934</v>
      </c>
      <c r="C102" s="215">
        <f t="shared" ref="C102:U102" si="130">C101*144</f>
        <v>457889.88006430934</v>
      </c>
      <c r="D102" s="215">
        <f t="shared" si="130"/>
        <v>457889.88006430934</v>
      </c>
      <c r="E102" s="215">
        <f t="shared" si="130"/>
        <v>457889.88006430934</v>
      </c>
      <c r="F102" s="215">
        <f t="shared" si="130"/>
        <v>457889.88006430934</v>
      </c>
      <c r="G102" s="215">
        <f t="shared" si="130"/>
        <v>457889.88006430934</v>
      </c>
      <c r="H102" s="215">
        <f t="shared" si="130"/>
        <v>455928.54258419375</v>
      </c>
      <c r="I102" s="215">
        <f t="shared" si="130"/>
        <v>455928.54258419375</v>
      </c>
      <c r="J102" s="215">
        <f t="shared" si="130"/>
        <v>455928.54258419375</v>
      </c>
      <c r="K102" s="215">
        <f t="shared" si="130"/>
        <v>455928.54258419375</v>
      </c>
      <c r="L102" s="215">
        <f t="shared" si="130"/>
        <v>455928.54258419375</v>
      </c>
      <c r="M102" s="215">
        <f t="shared" si="130"/>
        <v>449687.92332928034</v>
      </c>
      <c r="N102" s="215">
        <f t="shared" si="130"/>
        <v>449687.92332928034</v>
      </c>
      <c r="O102" s="215">
        <f t="shared" si="130"/>
        <v>449687.92332928034</v>
      </c>
      <c r="P102" s="215">
        <f t="shared" si="130"/>
        <v>449687.92332928034</v>
      </c>
      <c r="Q102" s="215">
        <f t="shared" si="130"/>
        <v>449687.92332928034</v>
      </c>
      <c r="R102" s="215">
        <f t="shared" si="130"/>
        <v>449687.92332928034</v>
      </c>
      <c r="S102" s="215">
        <f t="shared" si="130"/>
        <v>449687.92332928034</v>
      </c>
      <c r="T102" s="215">
        <f t="shared" si="130"/>
        <v>449687.92332928034</v>
      </c>
      <c r="U102" s="215">
        <f t="shared" si="130"/>
        <v>8624485.379941063</v>
      </c>
      <c r="V102" s="85"/>
      <c r="W102" s="148"/>
      <c r="X102" s="147"/>
      <c r="Y102" s="168"/>
      <c r="Z102" s="168"/>
      <c r="AA102" s="168"/>
      <c r="AB102" s="168"/>
      <c r="AC102" s="168"/>
      <c r="AD102" s="168"/>
      <c r="AE102" s="168"/>
      <c r="AF102" s="168"/>
      <c r="AG102" s="168"/>
      <c r="AH102" s="168"/>
      <c r="AI102" s="168"/>
      <c r="AJ102" s="151"/>
      <c r="AK102" s="168"/>
      <c r="AL102" s="168"/>
      <c r="AM102" s="168"/>
      <c r="AN102" s="151"/>
      <c r="AO102" s="16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  <c r="BI102" s="148"/>
      <c r="BJ102" s="148"/>
      <c r="BK102" s="148"/>
      <c r="BL102" s="148"/>
      <c r="BM102" s="148"/>
      <c r="BN102" s="148"/>
      <c r="BO102" s="148"/>
      <c r="BP102" s="148"/>
      <c r="BQ102" s="148"/>
      <c r="BR102" s="148"/>
      <c r="BS102" s="148"/>
      <c r="BT102" s="148"/>
      <c r="BU102" s="148"/>
      <c r="BV102" s="148"/>
      <c r="BW102" s="148"/>
      <c r="BX102" s="148"/>
    </row>
    <row r="103" spans="1:76" s="79" customFormat="1" ht="15" thickBot="1" x14ac:dyDescent="0.4">
      <c r="A103" s="193"/>
      <c r="B103" s="213"/>
      <c r="C103" s="196"/>
      <c r="D103" s="194"/>
      <c r="E103" s="194"/>
      <c r="F103" s="194"/>
      <c r="G103" s="194"/>
      <c r="H103" s="214"/>
      <c r="I103" s="194"/>
      <c r="J103" s="194"/>
      <c r="K103" s="194"/>
      <c r="L103" s="194"/>
      <c r="M103" s="214"/>
      <c r="N103" s="194"/>
      <c r="O103" s="194"/>
      <c r="P103" s="194"/>
      <c r="Q103" s="194"/>
      <c r="R103" s="194"/>
      <c r="S103" s="194"/>
      <c r="T103" s="194"/>
      <c r="U103" s="194"/>
      <c r="V103" s="87"/>
      <c r="W103" s="148"/>
      <c r="X103" s="147"/>
      <c r="Y103" s="168"/>
      <c r="Z103" s="168"/>
      <c r="AA103" s="168"/>
      <c r="AB103" s="168"/>
      <c r="AC103" s="168"/>
      <c r="AD103" s="168"/>
      <c r="AE103" s="168"/>
      <c r="AF103" s="168"/>
      <c r="AG103" s="168"/>
      <c r="AH103" s="168"/>
      <c r="AI103" s="168"/>
      <c r="AJ103" s="151"/>
      <c r="AK103" s="168"/>
      <c r="AL103" s="168"/>
      <c r="AM103" s="168"/>
      <c r="AN103" s="151"/>
      <c r="AO103" s="16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  <c r="BI103" s="148"/>
      <c r="BJ103" s="148"/>
      <c r="BK103" s="148"/>
      <c r="BL103" s="148"/>
      <c r="BM103" s="148"/>
      <c r="BN103" s="148"/>
      <c r="BO103" s="148"/>
      <c r="BP103" s="148"/>
      <c r="BQ103" s="148"/>
      <c r="BR103" s="148"/>
      <c r="BS103" s="148"/>
      <c r="BT103" s="148"/>
      <c r="BU103" s="148"/>
      <c r="BV103" s="148"/>
      <c r="BW103" s="148"/>
      <c r="BX103" s="148"/>
    </row>
    <row r="104" spans="1:76" ht="15" thickBot="1" x14ac:dyDescent="0.4">
      <c r="A104" s="197"/>
      <c r="B104" s="216"/>
      <c r="C104" s="198"/>
      <c r="D104" s="198"/>
      <c r="E104" s="198"/>
      <c r="F104" s="198"/>
      <c r="G104" s="198"/>
      <c r="H104" s="216"/>
      <c r="I104" s="198"/>
      <c r="J104" s="198"/>
      <c r="K104" s="198"/>
      <c r="L104" s="198"/>
      <c r="M104" s="216"/>
      <c r="N104" s="198"/>
      <c r="O104" s="198"/>
      <c r="P104" s="198"/>
      <c r="Q104" s="198"/>
      <c r="R104" s="198"/>
      <c r="S104" s="198"/>
      <c r="T104" s="198"/>
      <c r="U104" s="198"/>
    </row>
    <row r="107" spans="1:76" x14ac:dyDescent="0.35">
      <c r="A107" s="180" t="s">
        <v>0</v>
      </c>
      <c r="B107" s="209" t="s">
        <v>1</v>
      </c>
      <c r="C107" s="181" t="s">
        <v>2</v>
      </c>
      <c r="D107" s="182" t="s">
        <v>3</v>
      </c>
      <c r="E107" s="182" t="s">
        <v>4</v>
      </c>
      <c r="F107" s="182" t="s">
        <v>5</v>
      </c>
      <c r="G107" s="182" t="s">
        <v>6</v>
      </c>
      <c r="H107" s="209" t="s">
        <v>7</v>
      </c>
      <c r="I107" s="182" t="s">
        <v>8</v>
      </c>
      <c r="J107" s="182" t="s">
        <v>9</v>
      </c>
      <c r="K107" s="182" t="s">
        <v>10</v>
      </c>
      <c r="L107" s="182" t="s">
        <v>11</v>
      </c>
      <c r="M107" s="209" t="s">
        <v>12</v>
      </c>
      <c r="N107" s="182" t="s">
        <v>13</v>
      </c>
      <c r="O107" s="182" t="s">
        <v>14</v>
      </c>
      <c r="P107" s="182" t="s">
        <v>15</v>
      </c>
      <c r="Q107" s="182" t="s">
        <v>16</v>
      </c>
      <c r="R107" s="183" t="s">
        <v>17</v>
      </c>
      <c r="S107" s="184" t="s">
        <v>23</v>
      </c>
      <c r="T107" s="184" t="s">
        <v>24</v>
      </c>
      <c r="U107" s="185" t="s">
        <v>18</v>
      </c>
      <c r="V107" s="82"/>
    </row>
    <row r="108" spans="1:76" x14ac:dyDescent="0.35">
      <c r="A108" s="154" t="s">
        <v>33</v>
      </c>
      <c r="B108" s="217">
        <v>466</v>
      </c>
      <c r="C108" s="199">
        <v>466</v>
      </c>
      <c r="D108" s="199">
        <v>466</v>
      </c>
      <c r="E108" s="199">
        <v>466</v>
      </c>
      <c r="F108" s="199">
        <v>466</v>
      </c>
      <c r="G108" s="199">
        <v>466</v>
      </c>
      <c r="H108" s="217">
        <v>466</v>
      </c>
      <c r="I108" s="199">
        <v>466</v>
      </c>
      <c r="J108" s="199">
        <v>466</v>
      </c>
      <c r="K108" s="199">
        <v>466</v>
      </c>
      <c r="L108" s="199">
        <v>466</v>
      </c>
      <c r="M108" s="217">
        <v>466</v>
      </c>
      <c r="N108" s="199">
        <v>466</v>
      </c>
      <c r="O108" s="199">
        <v>466</v>
      </c>
      <c r="P108" s="199">
        <v>466</v>
      </c>
      <c r="Q108" s="199">
        <v>466</v>
      </c>
      <c r="R108" s="199">
        <v>466</v>
      </c>
      <c r="S108" s="199">
        <v>466</v>
      </c>
      <c r="T108" s="199">
        <v>466</v>
      </c>
      <c r="U108" s="200">
        <v>8850</v>
      </c>
    </row>
    <row r="109" spans="1:76" x14ac:dyDescent="0.35">
      <c r="A109" s="187" t="s">
        <v>20</v>
      </c>
      <c r="B109" s="218">
        <f>B108*0.16</f>
        <v>74.56</v>
      </c>
      <c r="C109" s="201">
        <f t="shared" ref="C109:U109" si="131">C108*0.16</f>
        <v>74.56</v>
      </c>
      <c r="D109" s="201">
        <f t="shared" si="131"/>
        <v>74.56</v>
      </c>
      <c r="E109" s="201">
        <f t="shared" si="131"/>
        <v>74.56</v>
      </c>
      <c r="F109" s="201">
        <f t="shared" si="131"/>
        <v>74.56</v>
      </c>
      <c r="G109" s="201">
        <f t="shared" si="131"/>
        <v>74.56</v>
      </c>
      <c r="H109" s="218">
        <f t="shared" si="131"/>
        <v>74.56</v>
      </c>
      <c r="I109" s="201">
        <f t="shared" si="131"/>
        <v>74.56</v>
      </c>
      <c r="J109" s="201">
        <f t="shared" si="131"/>
        <v>74.56</v>
      </c>
      <c r="K109" s="201">
        <f t="shared" si="131"/>
        <v>74.56</v>
      </c>
      <c r="L109" s="201">
        <f t="shared" si="131"/>
        <v>74.56</v>
      </c>
      <c r="M109" s="218">
        <f t="shared" si="131"/>
        <v>74.56</v>
      </c>
      <c r="N109" s="201">
        <f t="shared" si="131"/>
        <v>74.56</v>
      </c>
      <c r="O109" s="201">
        <f t="shared" si="131"/>
        <v>74.56</v>
      </c>
      <c r="P109" s="201">
        <f t="shared" si="131"/>
        <v>74.56</v>
      </c>
      <c r="Q109" s="201">
        <f t="shared" si="131"/>
        <v>74.56</v>
      </c>
      <c r="R109" s="201">
        <f t="shared" si="131"/>
        <v>74.56</v>
      </c>
      <c r="S109" s="201">
        <f t="shared" si="131"/>
        <v>74.56</v>
      </c>
      <c r="T109" s="201">
        <f t="shared" si="131"/>
        <v>74.56</v>
      </c>
      <c r="U109" s="202">
        <f t="shared" si="131"/>
        <v>1416</v>
      </c>
    </row>
    <row r="110" spans="1:76" x14ac:dyDescent="0.35">
      <c r="A110" s="187" t="s">
        <v>21</v>
      </c>
      <c r="B110" s="218">
        <f>B108*0.3</f>
        <v>139.79999999999998</v>
      </c>
      <c r="C110" s="201">
        <f t="shared" ref="C110:U110" si="132">C108*0.3</f>
        <v>139.79999999999998</v>
      </c>
      <c r="D110" s="201">
        <f t="shared" si="132"/>
        <v>139.79999999999998</v>
      </c>
      <c r="E110" s="201">
        <f t="shared" si="132"/>
        <v>139.79999999999998</v>
      </c>
      <c r="F110" s="201">
        <f t="shared" si="132"/>
        <v>139.79999999999998</v>
      </c>
      <c r="G110" s="201">
        <f t="shared" si="132"/>
        <v>139.79999999999998</v>
      </c>
      <c r="H110" s="218">
        <f t="shared" si="132"/>
        <v>139.79999999999998</v>
      </c>
      <c r="I110" s="201">
        <f t="shared" si="132"/>
        <v>139.79999999999998</v>
      </c>
      <c r="J110" s="201">
        <f t="shared" si="132"/>
        <v>139.79999999999998</v>
      </c>
      <c r="K110" s="201">
        <f t="shared" si="132"/>
        <v>139.79999999999998</v>
      </c>
      <c r="L110" s="201">
        <f t="shared" si="132"/>
        <v>139.79999999999998</v>
      </c>
      <c r="M110" s="218">
        <f t="shared" si="132"/>
        <v>139.79999999999998</v>
      </c>
      <c r="N110" s="201">
        <f t="shared" si="132"/>
        <v>139.79999999999998</v>
      </c>
      <c r="O110" s="201">
        <f t="shared" si="132"/>
        <v>139.79999999999998</v>
      </c>
      <c r="P110" s="201">
        <f t="shared" si="132"/>
        <v>139.79999999999998</v>
      </c>
      <c r="Q110" s="201">
        <f t="shared" si="132"/>
        <v>139.79999999999998</v>
      </c>
      <c r="R110" s="201">
        <f t="shared" si="132"/>
        <v>139.79999999999998</v>
      </c>
      <c r="S110" s="201">
        <f t="shared" si="132"/>
        <v>139.79999999999998</v>
      </c>
      <c r="T110" s="201">
        <f t="shared" si="132"/>
        <v>139.79999999999998</v>
      </c>
      <c r="U110" s="202">
        <f t="shared" si="132"/>
        <v>2655</v>
      </c>
    </row>
    <row r="111" spans="1:76" s="80" customFormat="1" x14ac:dyDescent="0.35">
      <c r="A111" s="187" t="s">
        <v>26</v>
      </c>
      <c r="B111" s="218">
        <f>B108*0.39</f>
        <v>181.74</v>
      </c>
      <c r="C111" s="201">
        <f t="shared" ref="C111:U111" si="133">C108*0.39</f>
        <v>181.74</v>
      </c>
      <c r="D111" s="201">
        <f t="shared" si="133"/>
        <v>181.74</v>
      </c>
      <c r="E111" s="201">
        <f t="shared" si="133"/>
        <v>181.74</v>
      </c>
      <c r="F111" s="201">
        <f t="shared" si="133"/>
        <v>181.74</v>
      </c>
      <c r="G111" s="201">
        <f t="shared" si="133"/>
        <v>181.74</v>
      </c>
      <c r="H111" s="218">
        <f t="shared" si="133"/>
        <v>181.74</v>
      </c>
      <c r="I111" s="201">
        <f t="shared" si="133"/>
        <v>181.74</v>
      </c>
      <c r="J111" s="201">
        <f t="shared" si="133"/>
        <v>181.74</v>
      </c>
      <c r="K111" s="201">
        <f t="shared" si="133"/>
        <v>181.74</v>
      </c>
      <c r="L111" s="201">
        <f t="shared" si="133"/>
        <v>181.74</v>
      </c>
      <c r="M111" s="218">
        <f t="shared" si="133"/>
        <v>181.74</v>
      </c>
      <c r="N111" s="201">
        <f t="shared" si="133"/>
        <v>181.74</v>
      </c>
      <c r="O111" s="201">
        <f t="shared" si="133"/>
        <v>181.74</v>
      </c>
      <c r="P111" s="201">
        <f t="shared" si="133"/>
        <v>181.74</v>
      </c>
      <c r="Q111" s="201">
        <f t="shared" si="133"/>
        <v>181.74</v>
      </c>
      <c r="R111" s="201">
        <f t="shared" si="133"/>
        <v>181.74</v>
      </c>
      <c r="S111" s="201">
        <f t="shared" si="133"/>
        <v>181.74</v>
      </c>
      <c r="T111" s="201">
        <f t="shared" si="133"/>
        <v>181.74</v>
      </c>
      <c r="U111" s="202">
        <f t="shared" si="133"/>
        <v>3451.5</v>
      </c>
      <c r="V111" s="146"/>
      <c r="W111" s="148"/>
      <c r="X111" s="147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51"/>
      <c r="AK111" s="148"/>
      <c r="AL111" s="148"/>
      <c r="AM111" s="148"/>
      <c r="AN111" s="151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  <c r="BI111" s="148"/>
      <c r="BJ111" s="148"/>
      <c r="BK111" s="148"/>
      <c r="BL111" s="148"/>
      <c r="BM111" s="148"/>
      <c r="BN111" s="148"/>
      <c r="BO111" s="148"/>
      <c r="BP111" s="148"/>
      <c r="BQ111" s="148"/>
      <c r="BR111" s="148"/>
      <c r="BS111" s="148"/>
      <c r="BT111" s="148"/>
      <c r="BU111" s="148"/>
      <c r="BV111" s="148"/>
      <c r="BW111" s="148"/>
      <c r="BX111" s="148"/>
    </row>
    <row r="112" spans="1:76" ht="15" thickBot="1" x14ac:dyDescent="0.4">
      <c r="A112" s="190" t="s">
        <v>22</v>
      </c>
      <c r="B112" s="218">
        <f>B108*0.15</f>
        <v>69.899999999999991</v>
      </c>
      <c r="C112" s="201">
        <f t="shared" ref="C112:U112" si="134">C108*0.15</f>
        <v>69.899999999999991</v>
      </c>
      <c r="D112" s="201">
        <f t="shared" si="134"/>
        <v>69.899999999999991</v>
      </c>
      <c r="E112" s="201">
        <f t="shared" si="134"/>
        <v>69.899999999999991</v>
      </c>
      <c r="F112" s="201">
        <f t="shared" si="134"/>
        <v>69.899999999999991</v>
      </c>
      <c r="G112" s="201">
        <f t="shared" si="134"/>
        <v>69.899999999999991</v>
      </c>
      <c r="H112" s="218">
        <f t="shared" si="134"/>
        <v>69.899999999999991</v>
      </c>
      <c r="I112" s="201">
        <f t="shared" si="134"/>
        <v>69.899999999999991</v>
      </c>
      <c r="J112" s="201">
        <f t="shared" si="134"/>
        <v>69.899999999999991</v>
      </c>
      <c r="K112" s="201">
        <f t="shared" si="134"/>
        <v>69.899999999999991</v>
      </c>
      <c r="L112" s="201">
        <f t="shared" si="134"/>
        <v>69.899999999999991</v>
      </c>
      <c r="M112" s="218">
        <f t="shared" si="134"/>
        <v>69.899999999999991</v>
      </c>
      <c r="N112" s="201">
        <f t="shared" si="134"/>
        <v>69.899999999999991</v>
      </c>
      <c r="O112" s="201">
        <f t="shared" si="134"/>
        <v>69.899999999999991</v>
      </c>
      <c r="P112" s="201">
        <f t="shared" si="134"/>
        <v>69.899999999999991</v>
      </c>
      <c r="Q112" s="201">
        <f t="shared" si="134"/>
        <v>69.899999999999991</v>
      </c>
      <c r="R112" s="201">
        <f t="shared" si="134"/>
        <v>69.899999999999991</v>
      </c>
      <c r="S112" s="201">
        <f t="shared" si="134"/>
        <v>69.899999999999991</v>
      </c>
      <c r="T112" s="201">
        <f t="shared" si="134"/>
        <v>69.899999999999991</v>
      </c>
      <c r="U112" s="202">
        <f t="shared" si="134"/>
        <v>1327.5</v>
      </c>
    </row>
    <row r="113" spans="1:76" s="78" customFormat="1" ht="15" thickBot="1" x14ac:dyDescent="0.4">
      <c r="A113" s="179"/>
      <c r="B113" s="212"/>
      <c r="C113" s="179"/>
      <c r="D113" s="179"/>
      <c r="E113" s="179"/>
      <c r="F113" s="179"/>
      <c r="G113" s="179"/>
      <c r="H113" s="212"/>
      <c r="I113" s="179"/>
      <c r="J113" s="179"/>
      <c r="K113" s="179"/>
      <c r="L113" s="179"/>
      <c r="M113" s="212"/>
      <c r="N113" s="179"/>
      <c r="O113" s="179"/>
      <c r="P113" s="179"/>
      <c r="Q113" s="179"/>
      <c r="R113" s="179"/>
      <c r="S113" s="179"/>
      <c r="T113" s="179"/>
      <c r="U113" s="179"/>
      <c r="V113" s="84"/>
      <c r="W113" s="148"/>
      <c r="X113" s="147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151"/>
      <c r="AK113" s="148"/>
      <c r="AL113" s="148"/>
      <c r="AM113" s="148"/>
      <c r="AN113" s="151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  <c r="BI113" s="148"/>
      <c r="BJ113" s="148"/>
      <c r="BK113" s="148"/>
      <c r="BL113" s="148"/>
      <c r="BM113" s="148"/>
      <c r="BN113" s="148"/>
      <c r="BO113" s="148"/>
      <c r="BP113" s="148"/>
      <c r="BQ113" s="148"/>
      <c r="BR113" s="148"/>
      <c r="BS113" s="148"/>
      <c r="BT113" s="148"/>
      <c r="BU113" s="148"/>
      <c r="BV113" s="148"/>
      <c r="BW113" s="148"/>
      <c r="BX113" s="148"/>
    </row>
    <row r="114" spans="1:76" s="77" customFormat="1" x14ac:dyDescent="0.35">
      <c r="A114" s="191" t="s">
        <v>55</v>
      </c>
      <c r="B114" s="213"/>
      <c r="C114" s="192"/>
      <c r="D114" s="192"/>
      <c r="E114" s="192"/>
      <c r="F114" s="192"/>
      <c r="G114" s="192"/>
      <c r="H114" s="213"/>
      <c r="I114" s="192"/>
      <c r="J114" s="192"/>
      <c r="K114" s="192"/>
      <c r="L114" s="192"/>
      <c r="M114" s="213"/>
      <c r="N114" s="192"/>
      <c r="O114" s="192"/>
      <c r="P114" s="192"/>
      <c r="Q114" s="192"/>
      <c r="R114" s="192"/>
      <c r="S114" s="192"/>
      <c r="T114" s="192"/>
      <c r="U114" s="192"/>
      <c r="V114" s="85"/>
      <c r="W114" s="148"/>
      <c r="X114" s="147"/>
      <c r="Y114" s="168"/>
      <c r="Z114" s="168"/>
      <c r="AA114" s="168"/>
      <c r="AB114" s="168"/>
      <c r="AC114" s="168"/>
      <c r="AD114" s="168"/>
      <c r="AE114" s="168"/>
      <c r="AF114" s="168"/>
      <c r="AG114" s="168"/>
      <c r="AH114" s="168"/>
      <c r="AI114" s="168"/>
      <c r="AJ114" s="151"/>
      <c r="AK114" s="168"/>
      <c r="AL114" s="168"/>
      <c r="AM114" s="168"/>
      <c r="AN114" s="151"/>
      <c r="AO114" s="16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  <c r="BI114" s="148"/>
      <c r="BJ114" s="148"/>
      <c r="BK114" s="148"/>
      <c r="BL114" s="148"/>
      <c r="BM114" s="148"/>
      <c r="BN114" s="148"/>
      <c r="BO114" s="148"/>
      <c r="BP114" s="148"/>
      <c r="BQ114" s="148"/>
      <c r="BR114" s="148"/>
      <c r="BS114" s="148"/>
      <c r="BT114" s="148"/>
      <c r="BU114" s="148"/>
      <c r="BV114" s="148"/>
      <c r="BW114" s="148"/>
      <c r="BX114" s="148"/>
    </row>
    <row r="115" spans="1:76" s="77" customFormat="1" x14ac:dyDescent="0.35">
      <c r="A115" s="193" t="s">
        <v>112</v>
      </c>
      <c r="B115" s="214">
        <f>(B109*$AG$27)+('reference data- 2'!B110*$AG$28)+('reference data- 2'!B111*$AG$29)+('reference data- 2'!B112*$AG$30)*30</f>
        <v>1846488.8131245836</v>
      </c>
      <c r="C115" s="214">
        <f>(C109*$AG$27)+('reference data- 2'!C110*$AG$28)+('reference data- 2'!C111*$AG$29)+('reference data- 2'!C112*$AG$30)*30</f>
        <v>1846488.8131245836</v>
      </c>
      <c r="D115" s="214">
        <f>(D109*$AG$27)+('reference data- 2'!D110*$AG$28)+('reference data- 2'!D111*$AG$29)+('reference data- 2'!D112*$AG$30)*30</f>
        <v>1846488.8131245836</v>
      </c>
      <c r="E115" s="214">
        <f>(E109*$AG$27)+('reference data- 2'!E110*$AG$28)+('reference data- 2'!E111*$AG$29)+('reference data- 2'!E112*$AG$30)*30</f>
        <v>1846488.8131245836</v>
      </c>
      <c r="F115" s="214">
        <f>(F109*$AG$27)+('reference data- 2'!F110*$AG$28)+('reference data- 2'!F111*$AG$29)+('reference data- 2'!F112*$AG$30)*30</f>
        <v>1846488.8131245836</v>
      </c>
      <c r="G115" s="214">
        <f>(G109*$AG$27)+('reference data- 2'!G110*$AG$28)+('reference data- 2'!G111*$AG$29)+('reference data- 2'!G112*$AG$30)*30</f>
        <v>1846488.8131245836</v>
      </c>
      <c r="H115" s="214">
        <f>(B109*$AK$27)+('reference data- 2'!B110*$AK$28)+('reference data- 2'!B111*$AK$29)+('reference data- 2'!B112*$AK$30)*30</f>
        <v>1838588.4251309852</v>
      </c>
      <c r="I115" s="214">
        <f>(C109*$AK$27)+('reference data- 2'!C110*$AK$28)+('reference data- 2'!C111*$AK$29)+('reference data- 2'!C112*$AK$30)*30</f>
        <v>1838588.4251309852</v>
      </c>
      <c r="J115" s="214">
        <f>(D109*$AK$27)+('reference data- 2'!D110*$AK$28)+('reference data- 2'!D111*$AK$29)+('reference data- 2'!D112*$AK$30)*30</f>
        <v>1838588.4251309852</v>
      </c>
      <c r="K115" s="214">
        <f>(E109*$AK$27)+('reference data- 2'!E110*$AK$28)+('reference data- 2'!E111*$AK$29)+('reference data- 2'!E112*$AK$30)*30</f>
        <v>1838588.4251309852</v>
      </c>
      <c r="L115" s="214">
        <f>(F109*$AK$27)+('reference data- 2'!F110*$AK$28)+('reference data- 2'!F111*$AK$29)+('reference data- 2'!F112*$AK$30)*30</f>
        <v>1838588.4251309852</v>
      </c>
      <c r="M115" s="214">
        <f>(B109*$AO$27)+('reference data- 2'!B110*$AO$28)+('reference data- 2'!B111*$AO$29)+('reference data- 2'!B112*$AO$30)*30</f>
        <v>1813450.8269695346</v>
      </c>
      <c r="N115" s="214">
        <f>(C109*$AO$27)+('reference data- 2'!C110*$AO$28)+('reference data- 2'!C111*$AO$29)+('reference data- 2'!C112*$AO$30)*30</f>
        <v>1813450.8269695346</v>
      </c>
      <c r="O115" s="214">
        <f>(D109*$AO$27)+('reference data- 2'!D110*$AO$28)+('reference data- 2'!D111*$AO$29)+('reference data- 2'!D112*$AO$30)*30</f>
        <v>1813450.8269695346</v>
      </c>
      <c r="P115" s="214">
        <f>(E109*$AO$27)+('reference data- 2'!E110*$AO$28)+('reference data- 2'!E111*$AO$29)+('reference data- 2'!E112*$AO$30)*30</f>
        <v>1813450.8269695346</v>
      </c>
      <c r="Q115" s="214">
        <f>(F109*$AO$27)+('reference data- 2'!F110*$AO$28)+('reference data- 2'!F111*$AO$29)+('reference data- 2'!F112*$AO$30)*30</f>
        <v>1813450.8269695346</v>
      </c>
      <c r="R115" s="214">
        <f>(G109*$AO$27)+('reference data- 2'!G110*$AO$28)+('reference data- 2'!G111*$AO$29)+('reference data- 2'!G112*$AO$30)*30</f>
        <v>1813450.8269695346</v>
      </c>
      <c r="S115" s="214">
        <f>(H109*$AO$27)+('reference data- 2'!H110*$AO$28)+('reference data- 2'!H111*$AO$29)+('reference data- 2'!H112*$AO$30)*30</f>
        <v>1813450.8269695346</v>
      </c>
      <c r="T115" s="214">
        <f>(I109*$AO$27)+('reference data- 2'!I110*$AO$28)+('reference data- 2'!I111*$AO$29)+('reference data- 2'!I112*$AO$30)*30</f>
        <v>1813450.8269695346</v>
      </c>
      <c r="U115" s="194">
        <f>SUM(B115:T115)</f>
        <v>34779481.620158702</v>
      </c>
      <c r="V115" s="86"/>
      <c r="W115" s="148"/>
      <c r="X115" s="147"/>
      <c r="Y115" s="168"/>
      <c r="Z115" s="168"/>
      <c r="AA115" s="168"/>
      <c r="AB115" s="168"/>
      <c r="AC115" s="168"/>
      <c r="AD115" s="168"/>
      <c r="AE115" s="168"/>
      <c r="AF115" s="168"/>
      <c r="AG115" s="168"/>
      <c r="AH115" s="168"/>
      <c r="AI115" s="168"/>
      <c r="AJ115" s="151"/>
      <c r="AK115" s="168"/>
      <c r="AL115" s="168"/>
      <c r="AM115" s="168"/>
      <c r="AN115" s="151"/>
      <c r="AO115" s="16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  <c r="BI115" s="148"/>
      <c r="BJ115" s="148"/>
      <c r="BK115" s="148"/>
      <c r="BL115" s="148"/>
      <c r="BM115" s="148"/>
      <c r="BN115" s="148"/>
      <c r="BO115" s="148"/>
      <c r="BP115" s="148"/>
      <c r="BQ115" s="148"/>
      <c r="BR115" s="148"/>
      <c r="BS115" s="148"/>
      <c r="BT115" s="148"/>
      <c r="BU115" s="148"/>
      <c r="BV115" s="148"/>
      <c r="BW115" s="148"/>
      <c r="BX115" s="148"/>
    </row>
    <row r="116" spans="1:76" s="155" customFormat="1" x14ac:dyDescent="0.35">
      <c r="A116" s="193" t="s">
        <v>111</v>
      </c>
      <c r="B116" s="214">
        <f>B115/1000</f>
        <v>1846.4888131245837</v>
      </c>
      <c r="C116" s="214">
        <f t="shared" ref="C116" si="135">C115/1000</f>
        <v>1846.4888131245837</v>
      </c>
      <c r="D116" s="214">
        <f t="shared" ref="D116" si="136">D115/1000</f>
        <v>1846.4888131245837</v>
      </c>
      <c r="E116" s="214">
        <f t="shared" ref="E116" si="137">E115/1000</f>
        <v>1846.4888131245837</v>
      </c>
      <c r="F116" s="214">
        <f t="shared" ref="F116" si="138">F115/1000</f>
        <v>1846.4888131245837</v>
      </c>
      <c r="G116" s="214">
        <f t="shared" ref="G116" si="139">G115/1000</f>
        <v>1846.4888131245837</v>
      </c>
      <c r="H116" s="214">
        <f t="shared" ref="H116" si="140">H115/1000</f>
        <v>1838.5884251309851</v>
      </c>
      <c r="I116" s="214">
        <f t="shared" ref="I116" si="141">I115/1000</f>
        <v>1838.5884251309851</v>
      </c>
      <c r="J116" s="214">
        <f t="shared" ref="J116" si="142">J115/1000</f>
        <v>1838.5884251309851</v>
      </c>
      <c r="K116" s="214">
        <f t="shared" ref="K116" si="143">K115/1000</f>
        <v>1838.5884251309851</v>
      </c>
      <c r="L116" s="214">
        <f t="shared" ref="L116" si="144">L115/1000</f>
        <v>1838.5884251309851</v>
      </c>
      <c r="M116" s="214">
        <f t="shared" ref="M116" si="145">M115/1000</f>
        <v>1813.4508269695345</v>
      </c>
      <c r="N116" s="214">
        <f>N115/1000</f>
        <v>1813.4508269695345</v>
      </c>
      <c r="O116" s="214">
        <f t="shared" ref="O116" si="146">O115/1000</f>
        <v>1813.4508269695345</v>
      </c>
      <c r="P116" s="214">
        <f t="shared" ref="P116" si="147">P115/1000</f>
        <v>1813.4508269695345</v>
      </c>
      <c r="Q116" s="214">
        <f t="shared" ref="Q116" si="148">Q115/1000</f>
        <v>1813.4508269695345</v>
      </c>
      <c r="R116" s="214">
        <f t="shared" ref="R116" si="149">R115/1000</f>
        <v>1813.4508269695345</v>
      </c>
      <c r="S116" s="214">
        <f t="shared" ref="S116" si="150">S115/1000</f>
        <v>1813.4508269695345</v>
      </c>
      <c r="T116" s="214">
        <f t="shared" ref="T116" si="151">T115/1000</f>
        <v>1813.4508269695345</v>
      </c>
      <c r="U116" s="214">
        <f t="shared" ref="U116" si="152">U115/1000</f>
        <v>34779.481620158702</v>
      </c>
      <c r="V116" s="162"/>
      <c r="W116" s="168"/>
      <c r="X116" s="147"/>
      <c r="Y116" s="168"/>
      <c r="Z116" s="168"/>
      <c r="AA116" s="168"/>
      <c r="AB116" s="168"/>
      <c r="AC116" s="168"/>
      <c r="AD116" s="168"/>
      <c r="AE116" s="168"/>
      <c r="AF116" s="168"/>
      <c r="AG116" s="168"/>
      <c r="AH116" s="168"/>
      <c r="AI116" s="168"/>
      <c r="AJ116" s="151"/>
      <c r="AK116" s="168"/>
      <c r="AL116" s="168"/>
      <c r="AM116" s="168"/>
      <c r="AN116" s="151"/>
      <c r="AO116" s="168"/>
      <c r="AP116" s="168"/>
      <c r="AQ116" s="168"/>
      <c r="AR116" s="168"/>
      <c r="AS116" s="168"/>
      <c r="AT116" s="168"/>
      <c r="AU116" s="168"/>
      <c r="AV116" s="168"/>
      <c r="AW116" s="168"/>
      <c r="AX116" s="168"/>
      <c r="AY116" s="168"/>
      <c r="AZ116" s="168"/>
      <c r="BA116" s="168"/>
      <c r="BB116" s="168"/>
      <c r="BC116" s="168"/>
      <c r="BD116" s="168"/>
      <c r="BE116" s="168"/>
      <c r="BF116" s="168"/>
      <c r="BG116" s="168"/>
      <c r="BH116" s="168"/>
      <c r="BI116" s="168"/>
      <c r="BJ116" s="168"/>
      <c r="BK116" s="168"/>
      <c r="BL116" s="168"/>
      <c r="BM116" s="168"/>
      <c r="BN116" s="168"/>
      <c r="BO116" s="168"/>
      <c r="BP116" s="168"/>
      <c r="BQ116" s="168"/>
      <c r="BR116" s="168"/>
      <c r="BS116" s="168"/>
      <c r="BT116" s="168"/>
      <c r="BU116" s="168"/>
      <c r="BV116" s="168"/>
      <c r="BW116" s="168"/>
      <c r="BX116" s="168"/>
    </row>
    <row r="117" spans="1:76" s="77" customFormat="1" x14ac:dyDescent="0.35">
      <c r="A117" s="193" t="s">
        <v>64</v>
      </c>
      <c r="B117" s="215">
        <f>B116*144</f>
        <v>265894.38908994006</v>
      </c>
      <c r="C117" s="215">
        <f t="shared" ref="C117:U117" si="153">C116*144</f>
        <v>265894.38908994006</v>
      </c>
      <c r="D117" s="215">
        <f t="shared" si="153"/>
        <v>265894.38908994006</v>
      </c>
      <c r="E117" s="215">
        <f t="shared" si="153"/>
        <v>265894.38908994006</v>
      </c>
      <c r="F117" s="215">
        <f t="shared" si="153"/>
        <v>265894.38908994006</v>
      </c>
      <c r="G117" s="215">
        <f t="shared" si="153"/>
        <v>265894.38908994006</v>
      </c>
      <c r="H117" s="215">
        <f t="shared" si="153"/>
        <v>264756.73321886186</v>
      </c>
      <c r="I117" s="215">
        <f t="shared" si="153"/>
        <v>264756.73321886186</v>
      </c>
      <c r="J117" s="215">
        <f t="shared" si="153"/>
        <v>264756.73321886186</v>
      </c>
      <c r="K117" s="215">
        <f t="shared" si="153"/>
        <v>264756.73321886186</v>
      </c>
      <c r="L117" s="215">
        <f t="shared" si="153"/>
        <v>264756.73321886186</v>
      </c>
      <c r="M117" s="215">
        <f t="shared" si="153"/>
        <v>261136.91908361297</v>
      </c>
      <c r="N117" s="215">
        <f t="shared" si="153"/>
        <v>261136.91908361297</v>
      </c>
      <c r="O117" s="215">
        <f t="shared" si="153"/>
        <v>261136.91908361297</v>
      </c>
      <c r="P117" s="215">
        <f t="shared" si="153"/>
        <v>261136.91908361297</v>
      </c>
      <c r="Q117" s="215">
        <f t="shared" si="153"/>
        <v>261136.91908361297</v>
      </c>
      <c r="R117" s="215">
        <f t="shared" si="153"/>
        <v>261136.91908361297</v>
      </c>
      <c r="S117" s="215">
        <f t="shared" si="153"/>
        <v>261136.91908361297</v>
      </c>
      <c r="T117" s="215">
        <f t="shared" si="153"/>
        <v>261136.91908361297</v>
      </c>
      <c r="U117" s="215">
        <f t="shared" si="153"/>
        <v>5008245.3533028532</v>
      </c>
      <c r="V117" s="85"/>
      <c r="W117" s="148"/>
      <c r="X117" s="147"/>
      <c r="Y117" s="168"/>
      <c r="Z117" s="168"/>
      <c r="AA117" s="168"/>
      <c r="AB117" s="168"/>
      <c r="AC117" s="168"/>
      <c r="AD117" s="168"/>
      <c r="AE117" s="168"/>
      <c r="AF117" s="168"/>
      <c r="AG117" s="168"/>
      <c r="AH117" s="168"/>
      <c r="AI117" s="168"/>
      <c r="AJ117" s="151"/>
      <c r="AK117" s="168"/>
      <c r="AL117" s="168"/>
      <c r="AM117" s="168"/>
      <c r="AN117" s="151"/>
      <c r="AO117" s="16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  <c r="BI117" s="148"/>
      <c r="BJ117" s="148"/>
      <c r="BK117" s="148"/>
      <c r="BL117" s="148"/>
      <c r="BM117" s="148"/>
      <c r="BN117" s="148"/>
      <c r="BO117" s="148"/>
      <c r="BP117" s="148"/>
      <c r="BQ117" s="148"/>
      <c r="BR117" s="148"/>
      <c r="BS117" s="148"/>
      <c r="BT117" s="148"/>
      <c r="BU117" s="148"/>
      <c r="BV117" s="148"/>
      <c r="BW117" s="148"/>
      <c r="BX117" s="148"/>
    </row>
    <row r="118" spans="1:76" s="79" customFormat="1" ht="15" thickBot="1" x14ac:dyDescent="0.4">
      <c r="A118" s="193"/>
      <c r="B118" s="213"/>
      <c r="C118" s="196"/>
      <c r="D118" s="194"/>
      <c r="E118" s="194"/>
      <c r="F118" s="194"/>
      <c r="G118" s="194"/>
      <c r="H118" s="214"/>
      <c r="I118" s="194"/>
      <c r="J118" s="194"/>
      <c r="K118" s="194"/>
      <c r="L118" s="194"/>
      <c r="M118" s="214"/>
      <c r="N118" s="194"/>
      <c r="O118" s="194"/>
      <c r="P118" s="194"/>
      <c r="Q118" s="194"/>
      <c r="R118" s="194"/>
      <c r="S118" s="194"/>
      <c r="T118" s="194"/>
      <c r="U118" s="194"/>
      <c r="V118" s="87"/>
      <c r="W118" s="148"/>
      <c r="X118" s="147"/>
      <c r="Y118" s="168"/>
      <c r="Z118" s="168"/>
      <c r="AA118" s="168"/>
      <c r="AB118" s="168"/>
      <c r="AC118" s="168"/>
      <c r="AD118" s="168"/>
      <c r="AE118" s="168"/>
      <c r="AF118" s="168"/>
      <c r="AG118" s="168"/>
      <c r="AH118" s="168"/>
      <c r="AI118" s="168"/>
      <c r="AJ118" s="151"/>
      <c r="AK118" s="168"/>
      <c r="AL118" s="168"/>
      <c r="AM118" s="168"/>
      <c r="AN118" s="151"/>
      <c r="AO118" s="16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  <c r="BI118" s="148"/>
      <c r="BJ118" s="148"/>
      <c r="BK118" s="148"/>
      <c r="BL118" s="148"/>
      <c r="BM118" s="148"/>
      <c r="BN118" s="148"/>
      <c r="BO118" s="148"/>
      <c r="BP118" s="148"/>
      <c r="BQ118" s="148"/>
      <c r="BR118" s="148"/>
      <c r="BS118" s="148"/>
      <c r="BT118" s="148"/>
      <c r="BU118" s="148"/>
      <c r="BV118" s="148"/>
      <c r="BW118" s="148"/>
      <c r="BX118" s="148"/>
    </row>
    <row r="119" spans="1:76" ht="15" thickBot="1" x14ac:dyDescent="0.4">
      <c r="A119" s="197"/>
      <c r="B119" s="216"/>
      <c r="C119" s="198"/>
      <c r="D119" s="198"/>
      <c r="E119" s="198"/>
      <c r="F119" s="198"/>
      <c r="G119" s="198"/>
      <c r="H119" s="216"/>
      <c r="I119" s="198"/>
      <c r="J119" s="198"/>
      <c r="K119" s="198"/>
      <c r="L119" s="198"/>
      <c r="M119" s="216"/>
      <c r="N119" s="198"/>
      <c r="O119" s="198"/>
      <c r="P119" s="198"/>
      <c r="Q119" s="198"/>
      <c r="R119" s="198"/>
      <c r="S119" s="198"/>
      <c r="T119" s="198"/>
      <c r="U119" s="198"/>
    </row>
    <row r="122" spans="1:76" x14ac:dyDescent="0.35">
      <c r="A122" s="180" t="s">
        <v>0</v>
      </c>
      <c r="B122" s="209" t="s">
        <v>1</v>
      </c>
      <c r="C122" s="181" t="s">
        <v>2</v>
      </c>
      <c r="D122" s="182" t="s">
        <v>3</v>
      </c>
      <c r="E122" s="182" t="s">
        <v>4</v>
      </c>
      <c r="F122" s="182" t="s">
        <v>5</v>
      </c>
      <c r="G122" s="182" t="s">
        <v>6</v>
      </c>
      <c r="H122" s="209" t="s">
        <v>7</v>
      </c>
      <c r="I122" s="182" t="s">
        <v>8</v>
      </c>
      <c r="J122" s="182" t="s">
        <v>9</v>
      </c>
      <c r="K122" s="182" t="s">
        <v>10</v>
      </c>
      <c r="L122" s="182" t="s">
        <v>11</v>
      </c>
      <c r="M122" s="209" t="s">
        <v>12</v>
      </c>
      <c r="N122" s="182" t="s">
        <v>13</v>
      </c>
      <c r="O122" s="182" t="s">
        <v>14</v>
      </c>
      <c r="P122" s="182" t="s">
        <v>15</v>
      </c>
      <c r="Q122" s="182" t="s">
        <v>16</v>
      </c>
      <c r="R122" s="183" t="s">
        <v>17</v>
      </c>
      <c r="S122" s="184" t="s">
        <v>23</v>
      </c>
      <c r="T122" s="184" t="s">
        <v>24</v>
      </c>
      <c r="U122" s="185" t="s">
        <v>18</v>
      </c>
      <c r="V122" s="82"/>
    </row>
    <row r="123" spans="1:76" x14ac:dyDescent="0.35">
      <c r="A123" s="154" t="s">
        <v>34</v>
      </c>
      <c r="B123" s="217">
        <v>1015</v>
      </c>
      <c r="C123" s="199">
        <v>1015</v>
      </c>
      <c r="D123" s="199">
        <v>1015</v>
      </c>
      <c r="E123" s="199">
        <v>1015</v>
      </c>
      <c r="F123" s="199">
        <v>1015</v>
      </c>
      <c r="G123" s="199">
        <v>1015</v>
      </c>
      <c r="H123" s="217">
        <v>1015</v>
      </c>
      <c r="I123" s="199">
        <v>1015</v>
      </c>
      <c r="J123" s="199">
        <v>1015</v>
      </c>
      <c r="K123" s="199">
        <v>1015</v>
      </c>
      <c r="L123" s="199">
        <v>1015</v>
      </c>
      <c r="M123" s="217">
        <v>1015</v>
      </c>
      <c r="N123" s="199">
        <v>1015</v>
      </c>
      <c r="O123" s="199">
        <v>1015</v>
      </c>
      <c r="P123" s="199">
        <v>1015</v>
      </c>
      <c r="Q123" s="199">
        <v>1015</v>
      </c>
      <c r="R123" s="199">
        <v>1015</v>
      </c>
      <c r="S123" s="199">
        <v>1015</v>
      </c>
      <c r="T123" s="199">
        <v>1015</v>
      </c>
      <c r="U123" s="200">
        <v>19280</v>
      </c>
    </row>
    <row r="124" spans="1:76" x14ac:dyDescent="0.35">
      <c r="A124" s="187" t="s">
        <v>20</v>
      </c>
      <c r="B124" s="218">
        <f>B123*0.17</f>
        <v>172.55</v>
      </c>
      <c r="C124" s="201">
        <f t="shared" ref="C124:U124" si="154">C123*0.17</f>
        <v>172.55</v>
      </c>
      <c r="D124" s="201">
        <f t="shared" si="154"/>
        <v>172.55</v>
      </c>
      <c r="E124" s="201">
        <f t="shared" si="154"/>
        <v>172.55</v>
      </c>
      <c r="F124" s="201">
        <f t="shared" si="154"/>
        <v>172.55</v>
      </c>
      <c r="G124" s="201">
        <f t="shared" si="154"/>
        <v>172.55</v>
      </c>
      <c r="H124" s="218">
        <f t="shared" si="154"/>
        <v>172.55</v>
      </c>
      <c r="I124" s="201">
        <f t="shared" si="154"/>
        <v>172.55</v>
      </c>
      <c r="J124" s="201">
        <f t="shared" si="154"/>
        <v>172.55</v>
      </c>
      <c r="K124" s="201">
        <f t="shared" si="154"/>
        <v>172.55</v>
      </c>
      <c r="L124" s="201">
        <f t="shared" si="154"/>
        <v>172.55</v>
      </c>
      <c r="M124" s="218">
        <f t="shared" si="154"/>
        <v>172.55</v>
      </c>
      <c r="N124" s="201">
        <f t="shared" si="154"/>
        <v>172.55</v>
      </c>
      <c r="O124" s="201">
        <f t="shared" si="154"/>
        <v>172.55</v>
      </c>
      <c r="P124" s="201">
        <f t="shared" si="154"/>
        <v>172.55</v>
      </c>
      <c r="Q124" s="201">
        <f t="shared" si="154"/>
        <v>172.55</v>
      </c>
      <c r="R124" s="201">
        <f t="shared" si="154"/>
        <v>172.55</v>
      </c>
      <c r="S124" s="201">
        <f t="shared" si="154"/>
        <v>172.55</v>
      </c>
      <c r="T124" s="201">
        <f t="shared" si="154"/>
        <v>172.55</v>
      </c>
      <c r="U124" s="202">
        <f t="shared" si="154"/>
        <v>3277.6000000000004</v>
      </c>
    </row>
    <row r="125" spans="1:76" x14ac:dyDescent="0.35">
      <c r="A125" s="187" t="s">
        <v>21</v>
      </c>
      <c r="B125" s="218">
        <f>B123*0.4</f>
        <v>406</v>
      </c>
      <c r="C125" s="201">
        <f t="shared" ref="C125:U125" si="155">C123*0.4</f>
        <v>406</v>
      </c>
      <c r="D125" s="201">
        <f t="shared" si="155"/>
        <v>406</v>
      </c>
      <c r="E125" s="201">
        <f t="shared" si="155"/>
        <v>406</v>
      </c>
      <c r="F125" s="201">
        <f t="shared" si="155"/>
        <v>406</v>
      </c>
      <c r="G125" s="201">
        <f t="shared" si="155"/>
        <v>406</v>
      </c>
      <c r="H125" s="218">
        <f t="shared" si="155"/>
        <v>406</v>
      </c>
      <c r="I125" s="201">
        <f t="shared" si="155"/>
        <v>406</v>
      </c>
      <c r="J125" s="201">
        <f t="shared" si="155"/>
        <v>406</v>
      </c>
      <c r="K125" s="201">
        <f t="shared" si="155"/>
        <v>406</v>
      </c>
      <c r="L125" s="201">
        <f t="shared" si="155"/>
        <v>406</v>
      </c>
      <c r="M125" s="218">
        <f t="shared" si="155"/>
        <v>406</v>
      </c>
      <c r="N125" s="201">
        <f t="shared" si="155"/>
        <v>406</v>
      </c>
      <c r="O125" s="201">
        <f t="shared" si="155"/>
        <v>406</v>
      </c>
      <c r="P125" s="201">
        <f t="shared" si="155"/>
        <v>406</v>
      </c>
      <c r="Q125" s="201">
        <f t="shared" si="155"/>
        <v>406</v>
      </c>
      <c r="R125" s="201">
        <f t="shared" si="155"/>
        <v>406</v>
      </c>
      <c r="S125" s="201">
        <f t="shared" si="155"/>
        <v>406</v>
      </c>
      <c r="T125" s="201">
        <f t="shared" si="155"/>
        <v>406</v>
      </c>
      <c r="U125" s="202">
        <f t="shared" si="155"/>
        <v>7712</v>
      </c>
    </row>
    <row r="126" spans="1:76" s="80" customFormat="1" x14ac:dyDescent="0.35">
      <c r="A126" s="187" t="s">
        <v>26</v>
      </c>
      <c r="B126" s="218">
        <f>B123*0.22</f>
        <v>223.3</v>
      </c>
      <c r="C126" s="201">
        <f t="shared" ref="C126:U126" si="156">C123*0.22</f>
        <v>223.3</v>
      </c>
      <c r="D126" s="201">
        <f t="shared" si="156"/>
        <v>223.3</v>
      </c>
      <c r="E126" s="201">
        <f t="shared" si="156"/>
        <v>223.3</v>
      </c>
      <c r="F126" s="201">
        <f t="shared" si="156"/>
        <v>223.3</v>
      </c>
      <c r="G126" s="201">
        <f t="shared" si="156"/>
        <v>223.3</v>
      </c>
      <c r="H126" s="218">
        <f t="shared" si="156"/>
        <v>223.3</v>
      </c>
      <c r="I126" s="201">
        <f t="shared" si="156"/>
        <v>223.3</v>
      </c>
      <c r="J126" s="201">
        <f t="shared" si="156"/>
        <v>223.3</v>
      </c>
      <c r="K126" s="201">
        <f t="shared" si="156"/>
        <v>223.3</v>
      </c>
      <c r="L126" s="201">
        <f t="shared" si="156"/>
        <v>223.3</v>
      </c>
      <c r="M126" s="218">
        <f t="shared" si="156"/>
        <v>223.3</v>
      </c>
      <c r="N126" s="201">
        <f t="shared" si="156"/>
        <v>223.3</v>
      </c>
      <c r="O126" s="201">
        <f t="shared" si="156"/>
        <v>223.3</v>
      </c>
      <c r="P126" s="201">
        <f t="shared" si="156"/>
        <v>223.3</v>
      </c>
      <c r="Q126" s="201">
        <f t="shared" si="156"/>
        <v>223.3</v>
      </c>
      <c r="R126" s="201">
        <f t="shared" si="156"/>
        <v>223.3</v>
      </c>
      <c r="S126" s="201">
        <f t="shared" si="156"/>
        <v>223.3</v>
      </c>
      <c r="T126" s="201">
        <f t="shared" si="156"/>
        <v>223.3</v>
      </c>
      <c r="U126" s="202">
        <f t="shared" si="156"/>
        <v>4241.6000000000004</v>
      </c>
      <c r="V126" s="146"/>
      <c r="W126" s="148"/>
      <c r="X126" s="147"/>
      <c r="Y126" s="148"/>
      <c r="Z126" s="148"/>
      <c r="AA126" s="148"/>
      <c r="AB126" s="148"/>
      <c r="AC126" s="148"/>
      <c r="AD126" s="148"/>
      <c r="AE126" s="148"/>
      <c r="AF126" s="148"/>
      <c r="AG126" s="148"/>
      <c r="AH126" s="148"/>
      <c r="AI126" s="148"/>
      <c r="AJ126" s="151"/>
      <c r="AK126" s="148"/>
      <c r="AL126" s="148"/>
      <c r="AM126" s="148"/>
      <c r="AN126" s="151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/>
      <c r="BG126" s="148"/>
      <c r="BH126" s="148"/>
      <c r="BI126" s="148"/>
      <c r="BJ126" s="148"/>
      <c r="BK126" s="148"/>
      <c r="BL126" s="148"/>
      <c r="BM126" s="148"/>
      <c r="BN126" s="148"/>
      <c r="BO126" s="148"/>
      <c r="BP126" s="148"/>
      <c r="BQ126" s="148"/>
      <c r="BR126" s="148"/>
      <c r="BS126" s="148"/>
      <c r="BT126" s="148"/>
      <c r="BU126" s="148"/>
      <c r="BV126" s="148"/>
      <c r="BW126" s="148"/>
      <c r="BX126" s="148"/>
    </row>
    <row r="127" spans="1:76" ht="15" thickBot="1" x14ac:dyDescent="0.4">
      <c r="A127" s="190" t="s">
        <v>22</v>
      </c>
      <c r="B127" s="218">
        <f>B123*0.21</f>
        <v>213.15</v>
      </c>
      <c r="C127" s="201">
        <f t="shared" ref="C127:U127" si="157">C123*0.21</f>
        <v>213.15</v>
      </c>
      <c r="D127" s="201">
        <f t="shared" si="157"/>
        <v>213.15</v>
      </c>
      <c r="E127" s="201">
        <f t="shared" si="157"/>
        <v>213.15</v>
      </c>
      <c r="F127" s="201">
        <f t="shared" si="157"/>
        <v>213.15</v>
      </c>
      <c r="G127" s="201">
        <f t="shared" si="157"/>
        <v>213.15</v>
      </c>
      <c r="H127" s="218">
        <f t="shared" si="157"/>
        <v>213.15</v>
      </c>
      <c r="I127" s="201">
        <f t="shared" si="157"/>
        <v>213.15</v>
      </c>
      <c r="J127" s="201">
        <f t="shared" si="157"/>
        <v>213.15</v>
      </c>
      <c r="K127" s="201">
        <f t="shared" si="157"/>
        <v>213.15</v>
      </c>
      <c r="L127" s="201">
        <f t="shared" si="157"/>
        <v>213.15</v>
      </c>
      <c r="M127" s="218">
        <f t="shared" si="157"/>
        <v>213.15</v>
      </c>
      <c r="N127" s="201">
        <f t="shared" si="157"/>
        <v>213.15</v>
      </c>
      <c r="O127" s="201">
        <f t="shared" si="157"/>
        <v>213.15</v>
      </c>
      <c r="P127" s="201">
        <f t="shared" si="157"/>
        <v>213.15</v>
      </c>
      <c r="Q127" s="201">
        <f t="shared" si="157"/>
        <v>213.15</v>
      </c>
      <c r="R127" s="201">
        <f t="shared" si="157"/>
        <v>213.15</v>
      </c>
      <c r="S127" s="201">
        <f t="shared" si="157"/>
        <v>213.15</v>
      </c>
      <c r="T127" s="201">
        <f t="shared" si="157"/>
        <v>213.15</v>
      </c>
      <c r="U127" s="202">
        <f t="shared" si="157"/>
        <v>4048.7999999999997</v>
      </c>
    </row>
    <row r="128" spans="1:76" s="78" customFormat="1" ht="15" thickBot="1" x14ac:dyDescent="0.4">
      <c r="A128" s="179"/>
      <c r="B128" s="212"/>
      <c r="C128" s="179"/>
      <c r="D128" s="179"/>
      <c r="E128" s="179"/>
      <c r="F128" s="179"/>
      <c r="G128" s="179"/>
      <c r="H128" s="212"/>
      <c r="I128" s="179"/>
      <c r="J128" s="179"/>
      <c r="K128" s="179"/>
      <c r="L128" s="179"/>
      <c r="M128" s="212"/>
      <c r="N128" s="179"/>
      <c r="O128" s="179"/>
      <c r="P128" s="179"/>
      <c r="Q128" s="179"/>
      <c r="R128" s="179"/>
      <c r="S128" s="179"/>
      <c r="T128" s="179"/>
      <c r="U128" s="179"/>
      <c r="V128" s="84"/>
      <c r="W128" s="148"/>
      <c r="X128" s="147"/>
      <c r="Y128" s="148"/>
      <c r="Z128" s="148"/>
      <c r="AA128" s="148"/>
      <c r="AB128" s="148"/>
      <c r="AC128" s="148"/>
      <c r="AD128" s="148"/>
      <c r="AE128" s="148"/>
      <c r="AF128" s="148"/>
      <c r="AG128" s="148"/>
      <c r="AH128" s="148"/>
      <c r="AI128" s="148"/>
      <c r="AJ128" s="151"/>
      <c r="AK128" s="148"/>
      <c r="AL128" s="148"/>
      <c r="AM128" s="148"/>
      <c r="AN128" s="151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  <c r="BI128" s="148"/>
      <c r="BJ128" s="148"/>
      <c r="BK128" s="148"/>
      <c r="BL128" s="148"/>
      <c r="BM128" s="148"/>
      <c r="BN128" s="148"/>
      <c r="BO128" s="148"/>
      <c r="BP128" s="148"/>
      <c r="BQ128" s="148"/>
      <c r="BR128" s="148"/>
      <c r="BS128" s="148"/>
      <c r="BT128" s="148"/>
      <c r="BU128" s="148"/>
      <c r="BV128" s="148"/>
      <c r="BW128" s="148"/>
      <c r="BX128" s="148"/>
    </row>
    <row r="129" spans="1:76" s="77" customFormat="1" x14ac:dyDescent="0.35">
      <c r="A129" s="191" t="s">
        <v>55</v>
      </c>
      <c r="B129" s="213"/>
      <c r="C129" s="192"/>
      <c r="D129" s="192"/>
      <c r="E129" s="192"/>
      <c r="F129" s="192"/>
      <c r="G129" s="192"/>
      <c r="H129" s="213"/>
      <c r="I129" s="192"/>
      <c r="J129" s="192"/>
      <c r="K129" s="192"/>
      <c r="L129" s="192"/>
      <c r="M129" s="213"/>
      <c r="N129" s="192"/>
      <c r="O129" s="192"/>
      <c r="P129" s="192"/>
      <c r="Q129" s="192"/>
      <c r="R129" s="192"/>
      <c r="S129" s="192"/>
      <c r="T129" s="192"/>
      <c r="U129" s="192"/>
      <c r="V129" s="85"/>
      <c r="W129" s="148"/>
      <c r="X129" s="147"/>
      <c r="Y129" s="168"/>
      <c r="Z129" s="168"/>
      <c r="AA129" s="168"/>
      <c r="AB129" s="168"/>
      <c r="AC129" s="168"/>
      <c r="AD129" s="168"/>
      <c r="AE129" s="168"/>
      <c r="AF129" s="168"/>
      <c r="AG129" s="168"/>
      <c r="AH129" s="168"/>
      <c r="AI129" s="168"/>
      <c r="AJ129" s="151"/>
      <c r="AK129" s="168"/>
      <c r="AL129" s="168"/>
      <c r="AM129" s="168"/>
      <c r="AN129" s="151"/>
      <c r="AO129" s="16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  <c r="BI129" s="148"/>
      <c r="BJ129" s="148"/>
      <c r="BK129" s="148"/>
      <c r="BL129" s="148"/>
      <c r="BM129" s="148"/>
      <c r="BN129" s="148"/>
      <c r="BO129" s="148"/>
      <c r="BP129" s="148"/>
      <c r="BQ129" s="148"/>
      <c r="BR129" s="148"/>
      <c r="BS129" s="148"/>
      <c r="BT129" s="148"/>
      <c r="BU129" s="148"/>
      <c r="BV129" s="148"/>
      <c r="BW129" s="148"/>
      <c r="BX129" s="148"/>
    </row>
    <row r="130" spans="1:76" s="77" customFormat="1" x14ac:dyDescent="0.35">
      <c r="A130" s="193" t="s">
        <v>112</v>
      </c>
      <c r="B130" s="214">
        <f>(B124*$AG$27)+('reference data- 2'!B125*$AG$28)+('reference data- 2'!B126*$AG$29)+('reference data- 2'!B127*$AG$30)*30</f>
        <v>5156498.8305662544</v>
      </c>
      <c r="C130" s="214">
        <f>(C124*$AG$27)+('reference data- 2'!C125*$AG$28)+('reference data- 2'!C126*$AG$29)+('reference data- 2'!C127*$AG$30)*30</f>
        <v>5156498.8305662544</v>
      </c>
      <c r="D130" s="214">
        <f>(D124*$AG$27)+('reference data- 2'!D125*$AG$28)+('reference data- 2'!D126*$AG$29)+('reference data- 2'!D127*$AG$30)*30</f>
        <v>5156498.8305662544</v>
      </c>
      <c r="E130" s="214">
        <f>(E124*$AG$27)+('reference data- 2'!E125*$AG$28)+('reference data- 2'!E126*$AG$29)+('reference data- 2'!E127*$AG$30)*30</f>
        <v>5156498.8305662544</v>
      </c>
      <c r="F130" s="214">
        <f>(F124*$AG$27)+('reference data- 2'!F125*$AG$28)+('reference data- 2'!F126*$AG$29)+('reference data- 2'!F127*$AG$30)*30</f>
        <v>5156498.8305662544</v>
      </c>
      <c r="G130" s="214">
        <f>(G124*$AG$27)+('reference data- 2'!G125*$AG$28)+('reference data- 2'!G126*$AG$29)+('reference data- 2'!G127*$AG$30)*30</f>
        <v>5156498.8305662544</v>
      </c>
      <c r="H130" s="214">
        <f>(B124*$AK$27)+('reference data- 2'!B125*$AK$28)+('reference data- 2'!B126*$AK$29)+('reference data- 2'!B127*$AK$30)*30</f>
        <v>5134116.0584128741</v>
      </c>
      <c r="I130" s="214">
        <f>(C124*$AK$27)+('reference data- 2'!C125*$AK$28)+('reference data- 2'!C126*$AK$29)+('reference data- 2'!C127*$AK$30)*30</f>
        <v>5134116.0584128741</v>
      </c>
      <c r="J130" s="214">
        <f>(D124*$AK$27)+('reference data- 2'!D125*$AK$28)+('reference data- 2'!D126*$AK$29)+('reference data- 2'!D127*$AK$30)*30</f>
        <v>5134116.0584128741</v>
      </c>
      <c r="K130" s="214">
        <f>(E124*$AK$27)+('reference data- 2'!E125*$AK$28)+('reference data- 2'!E126*$AK$29)+('reference data- 2'!E127*$AK$30)*30</f>
        <v>5134116.0584128741</v>
      </c>
      <c r="L130" s="214">
        <f>(F124*$AK$27)+('reference data- 2'!F125*$AK$28)+('reference data- 2'!F126*$AK$29)+('reference data- 2'!F127*$AK$30)*30</f>
        <v>5134116.0584128741</v>
      </c>
      <c r="M130" s="214">
        <f>(B124*$AO$27)+('reference data- 2'!B125*$AO$28)+('reference data- 2'!B126*$AO$29)+('reference data- 2'!B127*$AO$30)*30</f>
        <v>5062898.147015756</v>
      </c>
      <c r="N130" s="214">
        <f>(C124*$AO$27)+('reference data- 2'!C125*$AO$28)+('reference data- 2'!C126*$AO$29)+('reference data- 2'!C127*$AO$30)*30</f>
        <v>5062898.147015756</v>
      </c>
      <c r="O130" s="214">
        <f>(D124*$AO$27)+('reference data- 2'!D125*$AO$28)+('reference data- 2'!D126*$AO$29)+('reference data- 2'!D127*$AO$30)*30</f>
        <v>5062898.147015756</v>
      </c>
      <c r="P130" s="214">
        <f>(E124*$AO$27)+('reference data- 2'!E125*$AO$28)+('reference data- 2'!E126*$AO$29)+('reference data- 2'!E127*$AO$30)*30</f>
        <v>5062898.147015756</v>
      </c>
      <c r="Q130" s="214">
        <f>(F124*$AO$27)+('reference data- 2'!F125*$AO$28)+('reference data- 2'!F126*$AO$29)+('reference data- 2'!F127*$AO$30)*30</f>
        <v>5062898.147015756</v>
      </c>
      <c r="R130" s="214">
        <f>(G124*$AO$27)+('reference data- 2'!G125*$AO$28)+('reference data- 2'!G126*$AO$29)+('reference data- 2'!G127*$AO$30)*30</f>
        <v>5062898.147015756</v>
      </c>
      <c r="S130" s="214">
        <f>(H124*$AO$27)+('reference data- 2'!H125*$AO$28)+('reference data- 2'!H126*$AO$29)+('reference data- 2'!H127*$AO$30)*30</f>
        <v>5062898.147015756</v>
      </c>
      <c r="T130" s="214">
        <f>(I124*$AO$27)+('reference data- 2'!I125*$AO$28)+('reference data- 2'!I126*$AO$29)+('reference data- 2'!I127*$AO$30)*30</f>
        <v>5062898.147015756</v>
      </c>
      <c r="U130" s="194">
        <f>SUM(B130:T130)</f>
        <v>97112758.451587915</v>
      </c>
      <c r="V130" s="86"/>
      <c r="W130" s="148"/>
      <c r="X130" s="147"/>
      <c r="Y130" s="168"/>
      <c r="Z130" s="168"/>
      <c r="AA130" s="168"/>
      <c r="AB130" s="168"/>
      <c r="AC130" s="168"/>
      <c r="AD130" s="168"/>
      <c r="AE130" s="168"/>
      <c r="AF130" s="168"/>
      <c r="AG130" s="168"/>
      <c r="AH130" s="168"/>
      <c r="AI130" s="168"/>
      <c r="AJ130" s="151"/>
      <c r="AK130" s="168"/>
      <c r="AL130" s="168"/>
      <c r="AM130" s="168"/>
      <c r="AN130" s="151"/>
      <c r="AO130" s="168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48"/>
      <c r="BH130" s="148"/>
      <c r="BI130" s="148"/>
      <c r="BJ130" s="148"/>
      <c r="BK130" s="148"/>
      <c r="BL130" s="148"/>
      <c r="BM130" s="148"/>
      <c r="BN130" s="148"/>
      <c r="BO130" s="148"/>
      <c r="BP130" s="148"/>
      <c r="BQ130" s="148"/>
      <c r="BR130" s="148"/>
      <c r="BS130" s="148"/>
      <c r="BT130" s="148"/>
      <c r="BU130" s="148"/>
      <c r="BV130" s="148"/>
      <c r="BW130" s="148"/>
      <c r="BX130" s="148"/>
    </row>
    <row r="131" spans="1:76" s="155" customFormat="1" x14ac:dyDescent="0.35">
      <c r="A131" s="193" t="s">
        <v>111</v>
      </c>
      <c r="B131" s="214">
        <f t="shared" ref="B131:C131" si="158">B130/1000</f>
        <v>5156.4988305662546</v>
      </c>
      <c r="C131" s="214">
        <f t="shared" si="158"/>
        <v>5156.4988305662546</v>
      </c>
      <c r="D131" s="214">
        <f t="shared" ref="D131" si="159">D130/1000</f>
        <v>5156.4988305662546</v>
      </c>
      <c r="E131" s="214">
        <f t="shared" ref="E131" si="160">E130/1000</f>
        <v>5156.4988305662546</v>
      </c>
      <c r="F131" s="214">
        <f t="shared" ref="F131" si="161">F130/1000</f>
        <v>5156.4988305662546</v>
      </c>
      <c r="G131" s="214">
        <f t="shared" ref="G131" si="162">G130/1000</f>
        <v>5156.4988305662546</v>
      </c>
      <c r="H131" s="214">
        <f t="shared" ref="H131" si="163">H130/1000</f>
        <v>5134.1160584128738</v>
      </c>
      <c r="I131" s="214">
        <f t="shared" ref="I131" si="164">I130/1000</f>
        <v>5134.1160584128738</v>
      </c>
      <c r="J131" s="214">
        <f t="shared" ref="J131" si="165">J130/1000</f>
        <v>5134.1160584128738</v>
      </c>
      <c r="K131" s="214">
        <f t="shared" ref="K131" si="166">K130/1000</f>
        <v>5134.1160584128738</v>
      </c>
      <c r="L131" s="214">
        <f t="shared" ref="L131" si="167">L130/1000</f>
        <v>5134.1160584128738</v>
      </c>
      <c r="M131" s="214">
        <f t="shared" ref="M131" si="168">M130/1000</f>
        <v>5062.898147015756</v>
      </c>
      <c r="N131" s="214">
        <f>N130/1000</f>
        <v>5062.898147015756</v>
      </c>
      <c r="O131" s="214">
        <f t="shared" ref="O131" si="169">O130/1000</f>
        <v>5062.898147015756</v>
      </c>
      <c r="P131" s="214">
        <f t="shared" ref="P131" si="170">P130/1000</f>
        <v>5062.898147015756</v>
      </c>
      <c r="Q131" s="214">
        <f t="shared" ref="Q131" si="171">Q130/1000</f>
        <v>5062.898147015756</v>
      </c>
      <c r="R131" s="214">
        <f t="shared" ref="R131" si="172">R130/1000</f>
        <v>5062.898147015756</v>
      </c>
      <c r="S131" s="214">
        <f t="shared" ref="S131" si="173">S130/1000</f>
        <v>5062.898147015756</v>
      </c>
      <c r="T131" s="214">
        <f t="shared" ref="T131" si="174">T130/1000</f>
        <v>5062.898147015756</v>
      </c>
      <c r="U131" s="214">
        <f t="shared" ref="U131" si="175">U130/1000</f>
        <v>97112.758451587913</v>
      </c>
      <c r="V131" s="162"/>
      <c r="W131" s="168"/>
      <c r="X131" s="147"/>
      <c r="Y131" s="168"/>
      <c r="Z131" s="168"/>
      <c r="AA131" s="168"/>
      <c r="AB131" s="168"/>
      <c r="AC131" s="168"/>
      <c r="AD131" s="168"/>
      <c r="AE131" s="168"/>
      <c r="AF131" s="168"/>
      <c r="AG131" s="168"/>
      <c r="AH131" s="168"/>
      <c r="AI131" s="168"/>
      <c r="AJ131" s="151"/>
      <c r="AK131" s="168"/>
      <c r="AL131" s="168"/>
      <c r="AM131" s="168"/>
      <c r="AN131" s="151"/>
      <c r="AO131" s="168"/>
      <c r="AP131" s="168"/>
      <c r="AQ131" s="168"/>
      <c r="AR131" s="168"/>
      <c r="AS131" s="168"/>
      <c r="AT131" s="168"/>
      <c r="AU131" s="168"/>
      <c r="AV131" s="168"/>
      <c r="AW131" s="168"/>
      <c r="AX131" s="168"/>
      <c r="AY131" s="168"/>
      <c r="AZ131" s="168"/>
      <c r="BA131" s="168"/>
      <c r="BB131" s="168"/>
      <c r="BC131" s="168"/>
      <c r="BD131" s="168"/>
      <c r="BE131" s="168"/>
      <c r="BF131" s="168"/>
      <c r="BG131" s="168"/>
      <c r="BH131" s="168"/>
      <c r="BI131" s="168"/>
      <c r="BJ131" s="168"/>
      <c r="BK131" s="168"/>
      <c r="BL131" s="168"/>
      <c r="BM131" s="168"/>
      <c r="BN131" s="168"/>
      <c r="BO131" s="168"/>
      <c r="BP131" s="168"/>
      <c r="BQ131" s="168"/>
      <c r="BR131" s="168"/>
      <c r="BS131" s="168"/>
      <c r="BT131" s="168"/>
      <c r="BU131" s="168"/>
      <c r="BV131" s="168"/>
      <c r="BW131" s="168"/>
      <c r="BX131" s="168"/>
    </row>
    <row r="132" spans="1:76" s="77" customFormat="1" x14ac:dyDescent="0.35">
      <c r="A132" s="193" t="s">
        <v>64</v>
      </c>
      <c r="B132" s="215">
        <f>B131*144</f>
        <v>742535.83160154067</v>
      </c>
      <c r="C132" s="215">
        <f t="shared" ref="C132:U132" si="176">C131*144</f>
        <v>742535.83160154067</v>
      </c>
      <c r="D132" s="215">
        <f t="shared" si="176"/>
        <v>742535.83160154067</v>
      </c>
      <c r="E132" s="215">
        <f t="shared" si="176"/>
        <v>742535.83160154067</v>
      </c>
      <c r="F132" s="215">
        <f t="shared" si="176"/>
        <v>742535.83160154067</v>
      </c>
      <c r="G132" s="215">
        <f t="shared" si="176"/>
        <v>742535.83160154067</v>
      </c>
      <c r="H132" s="215">
        <f t="shared" si="176"/>
        <v>739312.71241145383</v>
      </c>
      <c r="I132" s="215">
        <f t="shared" si="176"/>
        <v>739312.71241145383</v>
      </c>
      <c r="J132" s="215">
        <f t="shared" si="176"/>
        <v>739312.71241145383</v>
      </c>
      <c r="K132" s="215">
        <f t="shared" si="176"/>
        <v>739312.71241145383</v>
      </c>
      <c r="L132" s="215">
        <f t="shared" si="176"/>
        <v>739312.71241145383</v>
      </c>
      <c r="M132" s="215">
        <f t="shared" si="176"/>
        <v>729057.33317026892</v>
      </c>
      <c r="N132" s="215">
        <f t="shared" si="176"/>
        <v>729057.33317026892</v>
      </c>
      <c r="O132" s="215">
        <f t="shared" si="176"/>
        <v>729057.33317026892</v>
      </c>
      <c r="P132" s="215">
        <f t="shared" si="176"/>
        <v>729057.33317026892</v>
      </c>
      <c r="Q132" s="215">
        <f t="shared" si="176"/>
        <v>729057.33317026892</v>
      </c>
      <c r="R132" s="215">
        <f t="shared" si="176"/>
        <v>729057.33317026892</v>
      </c>
      <c r="S132" s="215">
        <f t="shared" si="176"/>
        <v>729057.33317026892</v>
      </c>
      <c r="T132" s="215">
        <f t="shared" si="176"/>
        <v>729057.33317026892</v>
      </c>
      <c r="U132" s="215">
        <f t="shared" si="176"/>
        <v>13984237.217028659</v>
      </c>
      <c r="V132" s="85"/>
      <c r="W132" s="148"/>
      <c r="X132" s="147"/>
      <c r="Y132" s="168"/>
      <c r="Z132" s="168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51"/>
      <c r="AK132" s="168"/>
      <c r="AL132" s="168"/>
      <c r="AM132" s="168"/>
      <c r="AN132" s="151"/>
      <c r="AO132" s="16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8"/>
      <c r="BC132" s="148"/>
      <c r="BD132" s="148"/>
      <c r="BE132" s="148"/>
      <c r="BF132" s="148"/>
      <c r="BG132" s="148"/>
      <c r="BH132" s="148"/>
      <c r="BI132" s="148"/>
      <c r="BJ132" s="148"/>
      <c r="BK132" s="148"/>
      <c r="BL132" s="148"/>
      <c r="BM132" s="148"/>
      <c r="BN132" s="148"/>
      <c r="BO132" s="148"/>
      <c r="BP132" s="148"/>
      <c r="BQ132" s="148"/>
      <c r="BR132" s="148"/>
      <c r="BS132" s="148"/>
      <c r="BT132" s="148"/>
      <c r="BU132" s="148"/>
      <c r="BV132" s="148"/>
      <c r="BW132" s="148"/>
      <c r="BX132" s="148"/>
    </row>
    <row r="133" spans="1:76" s="79" customFormat="1" ht="15" thickBot="1" x14ac:dyDescent="0.4">
      <c r="A133" s="193"/>
      <c r="B133" s="213"/>
      <c r="C133" s="196"/>
      <c r="D133" s="194"/>
      <c r="E133" s="194"/>
      <c r="F133" s="194"/>
      <c r="G133" s="194"/>
      <c r="H133" s="214"/>
      <c r="I133" s="194"/>
      <c r="J133" s="194"/>
      <c r="K133" s="194"/>
      <c r="L133" s="194"/>
      <c r="M133" s="214"/>
      <c r="N133" s="194"/>
      <c r="O133" s="194"/>
      <c r="P133" s="194"/>
      <c r="Q133" s="194"/>
      <c r="R133" s="194"/>
      <c r="S133" s="194"/>
      <c r="T133" s="194"/>
      <c r="U133" s="194"/>
      <c r="V133" s="87"/>
      <c r="W133" s="148"/>
      <c r="X133" s="147"/>
      <c r="Y133" s="168"/>
      <c r="Z133" s="168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51"/>
      <c r="AK133" s="168"/>
      <c r="AL133" s="168"/>
      <c r="AM133" s="168"/>
      <c r="AN133" s="151"/>
      <c r="AO133" s="168"/>
      <c r="AP133" s="148"/>
      <c r="AQ133" s="148"/>
      <c r="AR133" s="148"/>
      <c r="AS133" s="148"/>
      <c r="AT133" s="148"/>
      <c r="AU133" s="148"/>
      <c r="AV133" s="148"/>
      <c r="AW133" s="148"/>
      <c r="AX133" s="148"/>
      <c r="AY133" s="148"/>
      <c r="AZ133" s="148"/>
      <c r="BA133" s="148"/>
      <c r="BB133" s="148"/>
      <c r="BC133" s="148"/>
      <c r="BD133" s="148"/>
      <c r="BE133" s="148"/>
      <c r="BF133" s="148"/>
      <c r="BG133" s="148"/>
      <c r="BH133" s="148"/>
      <c r="BI133" s="148"/>
      <c r="BJ133" s="148"/>
      <c r="BK133" s="148"/>
      <c r="BL133" s="148"/>
      <c r="BM133" s="148"/>
      <c r="BN133" s="148"/>
      <c r="BO133" s="148"/>
      <c r="BP133" s="148"/>
      <c r="BQ133" s="148"/>
      <c r="BR133" s="148"/>
      <c r="BS133" s="148"/>
      <c r="BT133" s="148"/>
      <c r="BU133" s="148"/>
      <c r="BV133" s="148"/>
      <c r="BW133" s="148"/>
      <c r="BX133" s="148"/>
    </row>
    <row r="134" spans="1:76" ht="15" thickBot="1" x14ac:dyDescent="0.4">
      <c r="A134" s="197"/>
      <c r="B134" s="216"/>
      <c r="C134" s="198"/>
      <c r="D134" s="198"/>
      <c r="E134" s="198"/>
      <c r="F134" s="198"/>
      <c r="G134" s="198"/>
      <c r="H134" s="216"/>
      <c r="I134" s="198"/>
      <c r="J134" s="198"/>
      <c r="K134" s="198"/>
      <c r="L134" s="198"/>
      <c r="M134" s="216"/>
      <c r="N134" s="198"/>
      <c r="O134" s="198"/>
      <c r="P134" s="198"/>
      <c r="Q134" s="198"/>
      <c r="R134" s="198"/>
      <c r="S134" s="198"/>
      <c r="T134" s="198"/>
      <c r="U134" s="198"/>
    </row>
    <row r="137" spans="1:76" x14ac:dyDescent="0.35">
      <c r="A137" s="180" t="s">
        <v>0</v>
      </c>
      <c r="B137" s="209" t="s">
        <v>1</v>
      </c>
      <c r="C137" s="181" t="s">
        <v>2</v>
      </c>
      <c r="D137" s="182" t="s">
        <v>3</v>
      </c>
      <c r="E137" s="182" t="s">
        <v>4</v>
      </c>
      <c r="F137" s="182" t="s">
        <v>5</v>
      </c>
      <c r="G137" s="182" t="s">
        <v>6</v>
      </c>
      <c r="H137" s="209" t="s">
        <v>7</v>
      </c>
      <c r="I137" s="182" t="s">
        <v>8</v>
      </c>
      <c r="J137" s="182" t="s">
        <v>9</v>
      </c>
      <c r="K137" s="182" t="s">
        <v>10</v>
      </c>
      <c r="L137" s="182" t="s">
        <v>11</v>
      </c>
      <c r="M137" s="209" t="s">
        <v>12</v>
      </c>
      <c r="N137" s="182" t="s">
        <v>13</v>
      </c>
      <c r="O137" s="182" t="s">
        <v>14</v>
      </c>
      <c r="P137" s="182" t="s">
        <v>15</v>
      </c>
      <c r="Q137" s="182" t="s">
        <v>16</v>
      </c>
      <c r="R137" s="183" t="s">
        <v>17</v>
      </c>
      <c r="S137" s="184" t="s">
        <v>23</v>
      </c>
      <c r="T137" s="184" t="s">
        <v>24</v>
      </c>
      <c r="U137" s="185" t="s">
        <v>18</v>
      </c>
      <c r="V137" s="82"/>
    </row>
    <row r="138" spans="1:76" x14ac:dyDescent="0.35">
      <c r="A138" s="154" t="s">
        <v>54</v>
      </c>
      <c r="B138" s="217">
        <v>1126</v>
      </c>
      <c r="C138" s="199">
        <v>1126</v>
      </c>
      <c r="D138" s="199">
        <v>1126</v>
      </c>
      <c r="E138" s="199">
        <v>1126</v>
      </c>
      <c r="F138" s="199">
        <v>1126</v>
      </c>
      <c r="G138" s="199">
        <v>1126</v>
      </c>
      <c r="H138" s="217">
        <v>1126</v>
      </c>
      <c r="I138" s="199">
        <v>1126</v>
      </c>
      <c r="J138" s="199">
        <v>1126</v>
      </c>
      <c r="K138" s="199">
        <v>1126</v>
      </c>
      <c r="L138" s="199">
        <v>1126</v>
      </c>
      <c r="M138" s="217">
        <v>1126</v>
      </c>
      <c r="N138" s="199">
        <v>1126</v>
      </c>
      <c r="O138" s="199">
        <v>1126</v>
      </c>
      <c r="P138" s="199">
        <v>1126</v>
      </c>
      <c r="Q138" s="199">
        <v>1126</v>
      </c>
      <c r="R138" s="199">
        <v>1126</v>
      </c>
      <c r="S138" s="199">
        <v>1126</v>
      </c>
      <c r="T138" s="199">
        <v>1126</v>
      </c>
      <c r="U138" s="200">
        <v>21400</v>
      </c>
    </row>
    <row r="139" spans="1:76" x14ac:dyDescent="0.35">
      <c r="A139" s="187" t="s">
        <v>20</v>
      </c>
      <c r="B139" s="218">
        <f>B138*0.26</f>
        <v>292.76</v>
      </c>
      <c r="C139" s="201">
        <f t="shared" ref="C139:K139" si="177">C138*0.26</f>
        <v>292.76</v>
      </c>
      <c r="D139" s="201">
        <f t="shared" si="177"/>
        <v>292.76</v>
      </c>
      <c r="E139" s="201">
        <f t="shared" si="177"/>
        <v>292.76</v>
      </c>
      <c r="F139" s="201">
        <f t="shared" si="177"/>
        <v>292.76</v>
      </c>
      <c r="G139" s="201">
        <f t="shared" si="177"/>
        <v>292.76</v>
      </c>
      <c r="H139" s="218">
        <f t="shared" si="177"/>
        <v>292.76</v>
      </c>
      <c r="I139" s="201">
        <f t="shared" si="177"/>
        <v>292.76</v>
      </c>
      <c r="J139" s="201">
        <f t="shared" si="177"/>
        <v>292.76</v>
      </c>
      <c r="K139" s="201">
        <f t="shared" si="177"/>
        <v>292.76</v>
      </c>
      <c r="L139" s="201">
        <f>L138*0.26</f>
        <v>292.76</v>
      </c>
      <c r="M139" s="218">
        <f t="shared" ref="M139:U139" si="178">M138*0.26</f>
        <v>292.76</v>
      </c>
      <c r="N139" s="201">
        <f t="shared" si="178"/>
        <v>292.76</v>
      </c>
      <c r="O139" s="201">
        <f t="shared" si="178"/>
        <v>292.76</v>
      </c>
      <c r="P139" s="201">
        <f t="shared" si="178"/>
        <v>292.76</v>
      </c>
      <c r="Q139" s="201">
        <f t="shared" si="178"/>
        <v>292.76</v>
      </c>
      <c r="R139" s="201">
        <f t="shared" si="178"/>
        <v>292.76</v>
      </c>
      <c r="S139" s="201">
        <f t="shared" si="178"/>
        <v>292.76</v>
      </c>
      <c r="T139" s="201">
        <f t="shared" si="178"/>
        <v>292.76</v>
      </c>
      <c r="U139" s="202">
        <f t="shared" si="178"/>
        <v>5564</v>
      </c>
    </row>
    <row r="140" spans="1:76" x14ac:dyDescent="0.35">
      <c r="A140" s="187" t="s">
        <v>21</v>
      </c>
      <c r="B140" s="218">
        <f>B138*0.36</f>
        <v>405.35999999999996</v>
      </c>
      <c r="C140" s="201">
        <f t="shared" ref="C140:U140" si="179">C138*0.36</f>
        <v>405.35999999999996</v>
      </c>
      <c r="D140" s="201">
        <f t="shared" si="179"/>
        <v>405.35999999999996</v>
      </c>
      <c r="E140" s="201">
        <f t="shared" si="179"/>
        <v>405.35999999999996</v>
      </c>
      <c r="F140" s="201">
        <f t="shared" si="179"/>
        <v>405.35999999999996</v>
      </c>
      <c r="G140" s="201">
        <f t="shared" si="179"/>
        <v>405.35999999999996</v>
      </c>
      <c r="H140" s="218">
        <f t="shared" si="179"/>
        <v>405.35999999999996</v>
      </c>
      <c r="I140" s="201">
        <f t="shared" si="179"/>
        <v>405.35999999999996</v>
      </c>
      <c r="J140" s="201">
        <f t="shared" si="179"/>
        <v>405.35999999999996</v>
      </c>
      <c r="K140" s="201">
        <f t="shared" si="179"/>
        <v>405.35999999999996</v>
      </c>
      <c r="L140" s="201">
        <f t="shared" si="179"/>
        <v>405.35999999999996</v>
      </c>
      <c r="M140" s="218">
        <f t="shared" si="179"/>
        <v>405.35999999999996</v>
      </c>
      <c r="N140" s="201">
        <f t="shared" si="179"/>
        <v>405.35999999999996</v>
      </c>
      <c r="O140" s="201">
        <f t="shared" si="179"/>
        <v>405.35999999999996</v>
      </c>
      <c r="P140" s="201">
        <f t="shared" si="179"/>
        <v>405.35999999999996</v>
      </c>
      <c r="Q140" s="201">
        <f t="shared" si="179"/>
        <v>405.35999999999996</v>
      </c>
      <c r="R140" s="201">
        <f t="shared" si="179"/>
        <v>405.35999999999996</v>
      </c>
      <c r="S140" s="201">
        <f t="shared" si="179"/>
        <v>405.35999999999996</v>
      </c>
      <c r="T140" s="201">
        <f t="shared" si="179"/>
        <v>405.35999999999996</v>
      </c>
      <c r="U140" s="202">
        <f t="shared" si="179"/>
        <v>7704</v>
      </c>
    </row>
    <row r="141" spans="1:76" s="80" customFormat="1" x14ac:dyDescent="0.35">
      <c r="A141" s="187" t="s">
        <v>26</v>
      </c>
      <c r="B141" s="218">
        <f>B138*0.29</f>
        <v>326.53999999999996</v>
      </c>
      <c r="C141" s="201">
        <f t="shared" ref="C141:U141" si="180">C138*0.29</f>
        <v>326.53999999999996</v>
      </c>
      <c r="D141" s="201">
        <f t="shared" si="180"/>
        <v>326.53999999999996</v>
      </c>
      <c r="E141" s="201">
        <f t="shared" si="180"/>
        <v>326.53999999999996</v>
      </c>
      <c r="F141" s="201">
        <f t="shared" si="180"/>
        <v>326.53999999999996</v>
      </c>
      <c r="G141" s="201">
        <f t="shared" si="180"/>
        <v>326.53999999999996</v>
      </c>
      <c r="H141" s="218">
        <f t="shared" si="180"/>
        <v>326.53999999999996</v>
      </c>
      <c r="I141" s="201">
        <f t="shared" si="180"/>
        <v>326.53999999999996</v>
      </c>
      <c r="J141" s="201">
        <f t="shared" si="180"/>
        <v>326.53999999999996</v>
      </c>
      <c r="K141" s="201">
        <f t="shared" si="180"/>
        <v>326.53999999999996</v>
      </c>
      <c r="L141" s="201">
        <f t="shared" si="180"/>
        <v>326.53999999999996</v>
      </c>
      <c r="M141" s="218">
        <f t="shared" si="180"/>
        <v>326.53999999999996</v>
      </c>
      <c r="N141" s="201">
        <f t="shared" si="180"/>
        <v>326.53999999999996</v>
      </c>
      <c r="O141" s="201">
        <f t="shared" si="180"/>
        <v>326.53999999999996</v>
      </c>
      <c r="P141" s="201">
        <f t="shared" si="180"/>
        <v>326.53999999999996</v>
      </c>
      <c r="Q141" s="201">
        <f t="shared" si="180"/>
        <v>326.53999999999996</v>
      </c>
      <c r="R141" s="201">
        <f t="shared" si="180"/>
        <v>326.53999999999996</v>
      </c>
      <c r="S141" s="201">
        <f t="shared" si="180"/>
        <v>326.53999999999996</v>
      </c>
      <c r="T141" s="201">
        <f t="shared" si="180"/>
        <v>326.53999999999996</v>
      </c>
      <c r="U141" s="202">
        <f t="shared" si="180"/>
        <v>6206</v>
      </c>
      <c r="V141" s="146"/>
      <c r="W141" s="148"/>
      <c r="X141" s="147"/>
      <c r="Y141" s="148"/>
      <c r="Z141" s="148"/>
      <c r="AA141" s="148"/>
      <c r="AB141" s="148"/>
      <c r="AC141" s="148"/>
      <c r="AD141" s="148"/>
      <c r="AE141" s="148"/>
      <c r="AF141" s="148"/>
      <c r="AG141" s="148"/>
      <c r="AH141" s="148"/>
      <c r="AI141" s="148"/>
      <c r="AJ141" s="151"/>
      <c r="AK141" s="148"/>
      <c r="AL141" s="148"/>
      <c r="AM141" s="148"/>
      <c r="AN141" s="151"/>
      <c r="AO141" s="148"/>
      <c r="AP141" s="148"/>
      <c r="AQ141" s="148"/>
      <c r="AR141" s="148"/>
      <c r="AS141" s="148"/>
      <c r="AT141" s="148"/>
      <c r="AU141" s="148"/>
      <c r="AV141" s="148"/>
      <c r="AW141" s="148"/>
      <c r="AX141" s="148"/>
      <c r="AY141" s="148"/>
      <c r="AZ141" s="148"/>
      <c r="BA141" s="148"/>
      <c r="BB141" s="148"/>
      <c r="BC141" s="148"/>
      <c r="BD141" s="148"/>
      <c r="BE141" s="148"/>
      <c r="BF141" s="148"/>
      <c r="BG141" s="148"/>
      <c r="BH141" s="148"/>
      <c r="BI141" s="148"/>
      <c r="BJ141" s="148"/>
      <c r="BK141" s="148"/>
      <c r="BL141" s="148"/>
      <c r="BM141" s="148"/>
      <c r="BN141" s="148"/>
      <c r="BO141" s="148"/>
      <c r="BP141" s="148"/>
      <c r="BQ141" s="148"/>
      <c r="BR141" s="148"/>
      <c r="BS141" s="148"/>
      <c r="BT141" s="148"/>
      <c r="BU141" s="148"/>
      <c r="BV141" s="148"/>
      <c r="BW141" s="148"/>
      <c r="BX141" s="148"/>
    </row>
    <row r="142" spans="1:76" ht="15" thickBot="1" x14ac:dyDescent="0.4">
      <c r="A142" s="190" t="s">
        <v>22</v>
      </c>
      <c r="B142" s="218">
        <f>B138*0.1</f>
        <v>112.60000000000001</v>
      </c>
      <c r="C142" s="201">
        <f t="shared" ref="C142:U142" si="181">C138*0.1</f>
        <v>112.60000000000001</v>
      </c>
      <c r="D142" s="201">
        <f t="shared" si="181"/>
        <v>112.60000000000001</v>
      </c>
      <c r="E142" s="201">
        <f t="shared" si="181"/>
        <v>112.60000000000001</v>
      </c>
      <c r="F142" s="201">
        <f t="shared" si="181"/>
        <v>112.60000000000001</v>
      </c>
      <c r="G142" s="201">
        <f t="shared" si="181"/>
        <v>112.60000000000001</v>
      </c>
      <c r="H142" s="218">
        <f t="shared" si="181"/>
        <v>112.60000000000001</v>
      </c>
      <c r="I142" s="201">
        <f t="shared" si="181"/>
        <v>112.60000000000001</v>
      </c>
      <c r="J142" s="201">
        <f t="shared" si="181"/>
        <v>112.60000000000001</v>
      </c>
      <c r="K142" s="201">
        <f t="shared" si="181"/>
        <v>112.60000000000001</v>
      </c>
      <c r="L142" s="201">
        <f t="shared" si="181"/>
        <v>112.60000000000001</v>
      </c>
      <c r="M142" s="218">
        <f t="shared" si="181"/>
        <v>112.60000000000001</v>
      </c>
      <c r="N142" s="201">
        <f t="shared" si="181"/>
        <v>112.60000000000001</v>
      </c>
      <c r="O142" s="201">
        <f t="shared" si="181"/>
        <v>112.60000000000001</v>
      </c>
      <c r="P142" s="201">
        <f t="shared" si="181"/>
        <v>112.60000000000001</v>
      </c>
      <c r="Q142" s="201">
        <f t="shared" si="181"/>
        <v>112.60000000000001</v>
      </c>
      <c r="R142" s="201">
        <f t="shared" si="181"/>
        <v>112.60000000000001</v>
      </c>
      <c r="S142" s="201">
        <f t="shared" si="181"/>
        <v>112.60000000000001</v>
      </c>
      <c r="T142" s="201">
        <f t="shared" si="181"/>
        <v>112.60000000000001</v>
      </c>
      <c r="U142" s="202">
        <f t="shared" si="181"/>
        <v>2140</v>
      </c>
    </row>
    <row r="143" spans="1:76" s="78" customFormat="1" ht="15" thickBot="1" x14ac:dyDescent="0.4">
      <c r="A143" s="179"/>
      <c r="B143" s="212"/>
      <c r="C143" s="179"/>
      <c r="D143" s="179"/>
      <c r="E143" s="179"/>
      <c r="F143" s="179"/>
      <c r="G143" s="179"/>
      <c r="H143" s="212"/>
      <c r="I143" s="179"/>
      <c r="J143" s="179"/>
      <c r="K143" s="179"/>
      <c r="L143" s="179"/>
      <c r="M143" s="212"/>
      <c r="N143" s="179"/>
      <c r="O143" s="179"/>
      <c r="P143" s="179"/>
      <c r="Q143" s="179"/>
      <c r="R143" s="179"/>
      <c r="S143" s="179"/>
      <c r="T143" s="179"/>
      <c r="U143" s="179"/>
      <c r="V143" s="84"/>
      <c r="W143" s="148"/>
      <c r="X143" s="147"/>
      <c r="Y143" s="148"/>
      <c r="Z143" s="148"/>
      <c r="AA143" s="148"/>
      <c r="AB143" s="148"/>
      <c r="AC143" s="148"/>
      <c r="AD143" s="148"/>
      <c r="AE143" s="148"/>
      <c r="AF143" s="148"/>
      <c r="AG143" s="148"/>
      <c r="AH143" s="148"/>
      <c r="AI143" s="148"/>
      <c r="AJ143" s="151"/>
      <c r="AK143" s="148"/>
      <c r="AL143" s="148"/>
      <c r="AM143" s="148"/>
      <c r="AN143" s="151"/>
      <c r="AO143" s="148"/>
      <c r="AP143" s="148"/>
      <c r="AQ143" s="148"/>
      <c r="AR143" s="148"/>
      <c r="AS143" s="148"/>
      <c r="AT143" s="148"/>
      <c r="AU143" s="148"/>
      <c r="AV143" s="148"/>
      <c r="AW143" s="148"/>
      <c r="AX143" s="148"/>
      <c r="AY143" s="148"/>
      <c r="AZ143" s="148"/>
      <c r="BA143" s="148"/>
      <c r="BB143" s="148"/>
      <c r="BC143" s="148"/>
      <c r="BD143" s="148"/>
      <c r="BE143" s="148"/>
      <c r="BF143" s="148"/>
      <c r="BG143" s="148"/>
      <c r="BH143" s="148"/>
      <c r="BI143" s="148"/>
      <c r="BJ143" s="148"/>
      <c r="BK143" s="148"/>
      <c r="BL143" s="148"/>
      <c r="BM143" s="148"/>
      <c r="BN143" s="148"/>
      <c r="BO143" s="148"/>
      <c r="BP143" s="148"/>
      <c r="BQ143" s="148"/>
      <c r="BR143" s="148"/>
      <c r="BS143" s="148"/>
      <c r="BT143" s="148"/>
      <c r="BU143" s="148"/>
      <c r="BV143" s="148"/>
      <c r="BW143" s="148"/>
      <c r="BX143" s="148"/>
    </row>
    <row r="144" spans="1:76" s="77" customFormat="1" x14ac:dyDescent="0.35">
      <c r="A144" s="191" t="s">
        <v>55</v>
      </c>
      <c r="B144" s="213"/>
      <c r="C144" s="192"/>
      <c r="D144" s="192"/>
      <c r="E144" s="192"/>
      <c r="F144" s="192"/>
      <c r="G144" s="192"/>
      <c r="H144" s="213"/>
      <c r="I144" s="192"/>
      <c r="J144" s="192"/>
      <c r="K144" s="192"/>
      <c r="L144" s="192"/>
      <c r="M144" s="213"/>
      <c r="N144" s="192"/>
      <c r="O144" s="192"/>
      <c r="P144" s="192"/>
      <c r="Q144" s="192"/>
      <c r="R144" s="192"/>
      <c r="S144" s="192"/>
      <c r="T144" s="192"/>
      <c r="U144" s="192"/>
      <c r="V144" s="85"/>
      <c r="W144" s="148"/>
      <c r="X144" s="147"/>
      <c r="Y144" s="168"/>
      <c r="Z144" s="168"/>
      <c r="AA144" s="168"/>
      <c r="AB144" s="168"/>
      <c r="AC144" s="168"/>
      <c r="AD144" s="168"/>
      <c r="AE144" s="168"/>
      <c r="AF144" s="168"/>
      <c r="AG144" s="168"/>
      <c r="AH144" s="168"/>
      <c r="AI144" s="168"/>
      <c r="AJ144" s="151"/>
      <c r="AK144" s="168"/>
      <c r="AL144" s="168"/>
      <c r="AM144" s="168"/>
      <c r="AN144" s="151"/>
      <c r="AO144" s="168"/>
      <c r="AP144" s="148"/>
      <c r="AQ144" s="148"/>
      <c r="AR144" s="148"/>
      <c r="AS144" s="148"/>
      <c r="AT144" s="148"/>
      <c r="AU144" s="148"/>
      <c r="AV144" s="148"/>
      <c r="AW144" s="148"/>
      <c r="AX144" s="148"/>
      <c r="AY144" s="148"/>
      <c r="AZ144" s="148"/>
      <c r="BA144" s="148"/>
      <c r="BB144" s="148"/>
      <c r="BC144" s="148"/>
      <c r="BD144" s="148"/>
      <c r="BE144" s="148"/>
      <c r="BF144" s="148"/>
      <c r="BG144" s="148"/>
      <c r="BH144" s="148"/>
      <c r="BI144" s="148"/>
      <c r="BJ144" s="148"/>
      <c r="BK144" s="148"/>
      <c r="BL144" s="148"/>
      <c r="BM144" s="148"/>
      <c r="BN144" s="148"/>
      <c r="BO144" s="148"/>
      <c r="BP144" s="148"/>
      <c r="BQ144" s="148"/>
      <c r="BR144" s="148"/>
      <c r="BS144" s="148"/>
      <c r="BT144" s="148"/>
      <c r="BU144" s="148"/>
      <c r="BV144" s="148"/>
      <c r="BW144" s="148"/>
      <c r="BX144" s="148"/>
    </row>
    <row r="145" spans="1:76" s="77" customFormat="1" x14ac:dyDescent="0.35">
      <c r="A145" s="193" t="s">
        <v>112</v>
      </c>
      <c r="B145" s="214">
        <f>(B139*$AG$27)+('reference data- 2'!B140*$AG$28)+('reference data- 2'!B141*$AG$29)+('reference data- 2'!B142*$AG$30)*30</f>
        <v>3438723.2885505599</v>
      </c>
      <c r="C145" s="214">
        <f>(C139*$AG$27)+('reference data- 2'!C140*$AG$28)+('reference data- 2'!C141*$AG$29)+('reference data- 2'!C142*$AG$30)*30</f>
        <v>3438723.2885505599</v>
      </c>
      <c r="D145" s="214">
        <f>(D139*$AG$27)+('reference data- 2'!D140*$AG$28)+('reference data- 2'!D141*$AG$29)+('reference data- 2'!D142*$AG$30)*30</f>
        <v>3438723.2885505599</v>
      </c>
      <c r="E145" s="214">
        <f>(E139*$AG$27)+('reference data- 2'!E140*$AG$28)+('reference data- 2'!E141*$AG$29)+('reference data- 2'!E142*$AG$30)*30</f>
        <v>3438723.2885505599</v>
      </c>
      <c r="F145" s="214">
        <f>(F139*$AG$27)+('reference data- 2'!F140*$AG$28)+('reference data- 2'!F141*$AG$29)+('reference data- 2'!F142*$AG$30)*30</f>
        <v>3438723.2885505599</v>
      </c>
      <c r="G145" s="214">
        <f>(G139*$AG$27)+('reference data- 2'!G140*$AG$28)+('reference data- 2'!G141*$AG$29)+('reference data- 2'!G142*$AG$30)*30</f>
        <v>3438723.2885505599</v>
      </c>
      <c r="H145" s="214">
        <f>(B139*$AK$27)+('reference data- 2'!B140*$AK$28)+('reference data- 2'!B141*$AK$29)+('reference data- 2'!B142*$AK$30)*30</f>
        <v>3424349.1127591184</v>
      </c>
      <c r="I145" s="214">
        <f>(C139*$AK$27)+('reference data- 2'!C140*$AK$28)+('reference data- 2'!C141*$AK$29)+('reference data- 2'!C142*$AK$30)*30</f>
        <v>3424349.1127591184</v>
      </c>
      <c r="J145" s="214">
        <f>(D139*$AK$27)+('reference data- 2'!D140*$AK$28)+('reference data- 2'!D141*$AK$29)+('reference data- 2'!D142*$AK$30)*30</f>
        <v>3424349.1127591184</v>
      </c>
      <c r="K145" s="214">
        <f>(E139*$AK$27)+('reference data- 2'!E140*$AK$28)+('reference data- 2'!E141*$AK$29)+('reference data- 2'!E142*$AK$30)*30</f>
        <v>3424349.1127591184</v>
      </c>
      <c r="L145" s="214">
        <f>(F139*$AK$27)+('reference data- 2'!F140*$AK$28)+('reference data- 2'!F141*$AK$29)+('reference data- 2'!F142*$AK$30)*30</f>
        <v>3424349.1127591184</v>
      </c>
      <c r="M145" s="214">
        <f>(B139*$AO$27)+('reference data- 2'!B140*$AO$28)+('reference data- 2'!B141*$AO$29)+('reference data- 2'!B142*$AO$30)*30</f>
        <v>3378613.0988772609</v>
      </c>
      <c r="N145" s="214">
        <f>(C139*$AO$27)+('reference data- 2'!C140*$AO$28)+('reference data- 2'!C141*$AO$29)+('reference data- 2'!C142*$AO$30)*30</f>
        <v>3378613.0988772609</v>
      </c>
      <c r="O145" s="214">
        <f>(D139*$AO$27)+('reference data- 2'!D140*$AO$28)+('reference data- 2'!D141*$AO$29)+('reference data- 2'!D142*$AO$30)*30</f>
        <v>3378613.0988772609</v>
      </c>
      <c r="P145" s="214">
        <f>(E139*$AO$27)+('reference data- 2'!E140*$AO$28)+('reference data- 2'!E141*$AO$29)+('reference data- 2'!E142*$AO$30)*30</f>
        <v>3378613.0988772609</v>
      </c>
      <c r="Q145" s="214">
        <f>(F139*$AO$27)+('reference data- 2'!F140*$AO$28)+('reference data- 2'!F141*$AO$29)+('reference data- 2'!F142*$AO$30)*30</f>
        <v>3378613.0988772609</v>
      </c>
      <c r="R145" s="214">
        <f>(G139*$AO$27)+('reference data- 2'!G140*$AO$28)+('reference data- 2'!G141*$AO$29)+('reference data- 2'!G142*$AO$30)*30</f>
        <v>3378613.0988772609</v>
      </c>
      <c r="S145" s="214">
        <f>(H139*$AO$27)+('reference data- 2'!H140*$AO$28)+('reference data- 2'!H141*$AO$29)+('reference data- 2'!H142*$AO$30)*30</f>
        <v>3378613.0988772609</v>
      </c>
      <c r="T145" s="214">
        <f>(I139*$AO$27)+('reference data- 2'!I140*$AO$28)+('reference data- 2'!I141*$AO$29)+('reference data- 2'!I142*$AO$30)*30</f>
        <v>3378613.0988772609</v>
      </c>
      <c r="U145" s="194">
        <f>SUM(B145:T145)</f>
        <v>64782990.086117022</v>
      </c>
      <c r="V145" s="86"/>
      <c r="W145" s="148"/>
      <c r="X145" s="147"/>
      <c r="Y145" s="168"/>
      <c r="Z145" s="168"/>
      <c r="AA145" s="168"/>
      <c r="AB145" s="168"/>
      <c r="AC145" s="168"/>
      <c r="AD145" s="168"/>
      <c r="AE145" s="168"/>
      <c r="AF145" s="168"/>
      <c r="AG145" s="168"/>
      <c r="AH145" s="168"/>
      <c r="AI145" s="168"/>
      <c r="AJ145" s="151"/>
      <c r="AK145" s="168"/>
      <c r="AL145" s="168"/>
      <c r="AM145" s="168"/>
      <c r="AN145" s="151"/>
      <c r="AO145" s="168"/>
      <c r="AP145" s="148"/>
      <c r="AQ145" s="148"/>
      <c r="AR145" s="148"/>
      <c r="AS145" s="148"/>
      <c r="AT145" s="148"/>
      <c r="AU145" s="148"/>
      <c r="AV145" s="148"/>
      <c r="AW145" s="148"/>
      <c r="AX145" s="148"/>
      <c r="AY145" s="148"/>
      <c r="AZ145" s="148"/>
      <c r="BA145" s="148"/>
      <c r="BB145" s="148"/>
      <c r="BC145" s="148"/>
      <c r="BD145" s="148"/>
      <c r="BE145" s="148"/>
      <c r="BF145" s="148"/>
      <c r="BG145" s="148"/>
      <c r="BH145" s="148"/>
      <c r="BI145" s="148"/>
      <c r="BJ145" s="148"/>
      <c r="BK145" s="148"/>
      <c r="BL145" s="148"/>
      <c r="BM145" s="148"/>
      <c r="BN145" s="148"/>
      <c r="BO145" s="148"/>
      <c r="BP145" s="148"/>
      <c r="BQ145" s="148"/>
      <c r="BR145" s="148"/>
      <c r="BS145" s="148"/>
      <c r="BT145" s="148"/>
      <c r="BU145" s="148"/>
      <c r="BV145" s="148"/>
      <c r="BW145" s="148"/>
      <c r="BX145" s="148"/>
    </row>
    <row r="146" spans="1:76" s="155" customFormat="1" x14ac:dyDescent="0.35">
      <c r="A146" s="193" t="s">
        <v>111</v>
      </c>
      <c r="B146" s="214">
        <f t="shared" ref="B146" si="182">B145/1000</f>
        <v>3438.72328855056</v>
      </c>
      <c r="C146" s="214">
        <f t="shared" ref="C146" si="183">C145/1000</f>
        <v>3438.72328855056</v>
      </c>
      <c r="D146" s="214">
        <f t="shared" ref="D146" si="184">D145/1000</f>
        <v>3438.72328855056</v>
      </c>
      <c r="E146" s="214">
        <f t="shared" ref="E146" si="185">E145/1000</f>
        <v>3438.72328855056</v>
      </c>
      <c r="F146" s="214">
        <f t="shared" ref="F146" si="186">F145/1000</f>
        <v>3438.72328855056</v>
      </c>
      <c r="G146" s="214">
        <f t="shared" ref="G146" si="187">G145/1000</f>
        <v>3438.72328855056</v>
      </c>
      <c r="H146" s="214">
        <f t="shared" ref="H146" si="188">H145/1000</f>
        <v>3424.3491127591183</v>
      </c>
      <c r="I146" s="214">
        <f t="shared" ref="I146" si="189">I145/1000</f>
        <v>3424.3491127591183</v>
      </c>
      <c r="J146" s="214">
        <f t="shared" ref="J146" si="190">J145/1000</f>
        <v>3424.3491127591183</v>
      </c>
      <c r="K146" s="214">
        <f t="shared" ref="K146" si="191">K145/1000</f>
        <v>3424.3491127591183</v>
      </c>
      <c r="L146" s="214">
        <f t="shared" ref="L146" si="192">L145/1000</f>
        <v>3424.3491127591183</v>
      </c>
      <c r="M146" s="214">
        <f t="shared" ref="M146" si="193">M145/1000</f>
        <v>3378.6130988772611</v>
      </c>
      <c r="N146" s="214">
        <f>N145/1000</f>
        <v>3378.6130988772611</v>
      </c>
      <c r="O146" s="214">
        <f t="shared" ref="O146" si="194">O145/1000</f>
        <v>3378.6130988772611</v>
      </c>
      <c r="P146" s="214">
        <f t="shared" ref="P146" si="195">P145/1000</f>
        <v>3378.6130988772611</v>
      </c>
      <c r="Q146" s="214">
        <f t="shared" ref="Q146" si="196">Q145/1000</f>
        <v>3378.6130988772611</v>
      </c>
      <c r="R146" s="214">
        <f t="shared" ref="R146" si="197">R145/1000</f>
        <v>3378.6130988772611</v>
      </c>
      <c r="S146" s="214">
        <f t="shared" ref="S146" si="198">S145/1000</f>
        <v>3378.6130988772611</v>
      </c>
      <c r="T146" s="214">
        <f t="shared" ref="T146" si="199">T145/1000</f>
        <v>3378.6130988772611</v>
      </c>
      <c r="U146" s="214">
        <f t="shared" ref="U146" si="200">U145/1000</f>
        <v>64782.990086117024</v>
      </c>
      <c r="V146" s="162"/>
      <c r="W146" s="168"/>
      <c r="X146" s="147"/>
      <c r="Y146" s="168"/>
      <c r="Z146" s="168"/>
      <c r="AA146" s="168"/>
      <c r="AB146" s="168"/>
      <c r="AC146" s="168"/>
      <c r="AD146" s="168"/>
      <c r="AE146" s="168"/>
      <c r="AF146" s="168"/>
      <c r="AG146" s="168"/>
      <c r="AH146" s="168"/>
      <c r="AI146" s="168"/>
      <c r="AJ146" s="151"/>
      <c r="AK146" s="168"/>
      <c r="AL146" s="168"/>
      <c r="AM146" s="168"/>
      <c r="AN146" s="151"/>
      <c r="AO146" s="168"/>
      <c r="AP146" s="168"/>
      <c r="AQ146" s="168"/>
      <c r="AR146" s="168"/>
      <c r="AS146" s="168"/>
      <c r="AT146" s="168"/>
      <c r="AU146" s="168"/>
      <c r="AV146" s="168"/>
      <c r="AW146" s="168"/>
      <c r="AX146" s="168"/>
      <c r="AY146" s="168"/>
      <c r="AZ146" s="168"/>
      <c r="BA146" s="168"/>
      <c r="BB146" s="168"/>
      <c r="BC146" s="168"/>
      <c r="BD146" s="168"/>
      <c r="BE146" s="168"/>
      <c r="BF146" s="168"/>
      <c r="BG146" s="168"/>
      <c r="BH146" s="168"/>
      <c r="BI146" s="168"/>
      <c r="BJ146" s="168"/>
      <c r="BK146" s="168"/>
      <c r="BL146" s="168"/>
      <c r="BM146" s="168"/>
      <c r="BN146" s="168"/>
      <c r="BO146" s="168"/>
      <c r="BP146" s="168"/>
      <c r="BQ146" s="168"/>
      <c r="BR146" s="168"/>
      <c r="BS146" s="168"/>
      <c r="BT146" s="168"/>
      <c r="BU146" s="168"/>
      <c r="BV146" s="168"/>
      <c r="BW146" s="168"/>
      <c r="BX146" s="168"/>
    </row>
    <row r="147" spans="1:76" s="77" customFormat="1" x14ac:dyDescent="0.35">
      <c r="A147" s="193" t="s">
        <v>64</v>
      </c>
      <c r="B147" s="215">
        <f>B146*144</f>
        <v>495176.15355128061</v>
      </c>
      <c r="C147" s="215">
        <f t="shared" ref="C147:U147" si="201">C146*144</f>
        <v>495176.15355128061</v>
      </c>
      <c r="D147" s="215">
        <f t="shared" si="201"/>
        <v>495176.15355128061</v>
      </c>
      <c r="E147" s="215">
        <f t="shared" si="201"/>
        <v>495176.15355128061</v>
      </c>
      <c r="F147" s="215">
        <f t="shared" si="201"/>
        <v>495176.15355128061</v>
      </c>
      <c r="G147" s="215">
        <f t="shared" si="201"/>
        <v>495176.15355128061</v>
      </c>
      <c r="H147" s="215">
        <f t="shared" si="201"/>
        <v>493106.27223731304</v>
      </c>
      <c r="I147" s="215">
        <f t="shared" si="201"/>
        <v>493106.27223731304</v>
      </c>
      <c r="J147" s="215">
        <f t="shared" si="201"/>
        <v>493106.27223731304</v>
      </c>
      <c r="K147" s="215">
        <f t="shared" si="201"/>
        <v>493106.27223731304</v>
      </c>
      <c r="L147" s="215">
        <f t="shared" si="201"/>
        <v>493106.27223731304</v>
      </c>
      <c r="M147" s="215">
        <f t="shared" si="201"/>
        <v>486520.28623832559</v>
      </c>
      <c r="N147" s="215">
        <f t="shared" si="201"/>
        <v>486520.28623832559</v>
      </c>
      <c r="O147" s="215">
        <f t="shared" si="201"/>
        <v>486520.28623832559</v>
      </c>
      <c r="P147" s="215">
        <f t="shared" si="201"/>
        <v>486520.28623832559</v>
      </c>
      <c r="Q147" s="215">
        <f t="shared" si="201"/>
        <v>486520.28623832559</v>
      </c>
      <c r="R147" s="215">
        <f t="shared" si="201"/>
        <v>486520.28623832559</v>
      </c>
      <c r="S147" s="215">
        <f t="shared" si="201"/>
        <v>486520.28623832559</v>
      </c>
      <c r="T147" s="215">
        <f t="shared" si="201"/>
        <v>486520.28623832559</v>
      </c>
      <c r="U147" s="215">
        <f t="shared" si="201"/>
        <v>9328750.5724008512</v>
      </c>
      <c r="V147" s="85"/>
      <c r="W147" s="148"/>
      <c r="X147" s="147"/>
      <c r="Y147" s="168"/>
      <c r="Z147" s="168"/>
      <c r="AA147" s="168"/>
      <c r="AB147" s="168"/>
      <c r="AC147" s="168"/>
      <c r="AD147" s="168"/>
      <c r="AE147" s="168"/>
      <c r="AF147" s="168"/>
      <c r="AG147" s="168"/>
      <c r="AH147" s="168"/>
      <c r="AI147" s="168"/>
      <c r="AJ147" s="151"/>
      <c r="AK147" s="168"/>
      <c r="AL147" s="168"/>
      <c r="AM147" s="168"/>
      <c r="AN147" s="151"/>
      <c r="AO147" s="168"/>
      <c r="AP147" s="148"/>
      <c r="AQ147" s="148"/>
      <c r="AR147" s="148"/>
      <c r="AS147" s="148"/>
      <c r="AT147" s="148"/>
      <c r="AU147" s="148"/>
      <c r="AV147" s="148"/>
      <c r="AW147" s="148"/>
      <c r="AX147" s="148"/>
      <c r="AY147" s="148"/>
      <c r="AZ147" s="148"/>
      <c r="BA147" s="148"/>
      <c r="BB147" s="148"/>
      <c r="BC147" s="148"/>
      <c r="BD147" s="148"/>
      <c r="BE147" s="148"/>
      <c r="BF147" s="148"/>
      <c r="BG147" s="148"/>
      <c r="BH147" s="148"/>
      <c r="BI147" s="148"/>
      <c r="BJ147" s="148"/>
      <c r="BK147" s="148"/>
      <c r="BL147" s="148"/>
      <c r="BM147" s="148"/>
      <c r="BN147" s="148"/>
      <c r="BO147" s="148"/>
      <c r="BP147" s="148"/>
      <c r="BQ147" s="148"/>
      <c r="BR147" s="148"/>
      <c r="BS147" s="148"/>
      <c r="BT147" s="148"/>
      <c r="BU147" s="148"/>
      <c r="BV147" s="148"/>
      <c r="BW147" s="148"/>
      <c r="BX147" s="148"/>
    </row>
    <row r="148" spans="1:76" s="79" customFormat="1" ht="15" thickBot="1" x14ac:dyDescent="0.4">
      <c r="A148" s="193"/>
      <c r="B148" s="213"/>
      <c r="C148" s="196"/>
      <c r="D148" s="194"/>
      <c r="E148" s="194"/>
      <c r="F148" s="194"/>
      <c r="G148" s="194"/>
      <c r="H148" s="214"/>
      <c r="I148" s="194"/>
      <c r="J148" s="194"/>
      <c r="K148" s="194"/>
      <c r="L148" s="194"/>
      <c r="M148" s="214"/>
      <c r="N148" s="194"/>
      <c r="O148" s="194"/>
      <c r="P148" s="194"/>
      <c r="Q148" s="194"/>
      <c r="R148" s="194"/>
      <c r="S148" s="194"/>
      <c r="T148" s="194"/>
      <c r="U148" s="194"/>
      <c r="V148" s="87"/>
      <c r="W148" s="148"/>
      <c r="X148" s="147"/>
      <c r="Y148" s="168"/>
      <c r="Z148" s="168"/>
      <c r="AA148" s="168"/>
      <c r="AB148" s="168"/>
      <c r="AC148" s="168"/>
      <c r="AD148" s="168"/>
      <c r="AE148" s="168"/>
      <c r="AF148" s="168"/>
      <c r="AG148" s="168"/>
      <c r="AH148" s="168"/>
      <c r="AI148" s="168"/>
      <c r="AJ148" s="151"/>
      <c r="AK148" s="168"/>
      <c r="AL148" s="168"/>
      <c r="AM148" s="168"/>
      <c r="AN148" s="151"/>
      <c r="AO148" s="168"/>
      <c r="AP148" s="148"/>
      <c r="AQ148" s="148"/>
      <c r="AR148" s="148"/>
      <c r="AS148" s="148"/>
      <c r="AT148" s="148"/>
      <c r="AU148" s="148"/>
      <c r="AV148" s="148"/>
      <c r="AW148" s="148"/>
      <c r="AX148" s="148"/>
      <c r="AY148" s="148"/>
      <c r="AZ148" s="148"/>
      <c r="BA148" s="148"/>
      <c r="BB148" s="148"/>
      <c r="BC148" s="148"/>
      <c r="BD148" s="148"/>
      <c r="BE148" s="148"/>
      <c r="BF148" s="148"/>
      <c r="BG148" s="148"/>
      <c r="BH148" s="148"/>
      <c r="BI148" s="148"/>
      <c r="BJ148" s="148"/>
      <c r="BK148" s="148"/>
      <c r="BL148" s="148"/>
      <c r="BM148" s="148"/>
      <c r="BN148" s="148"/>
      <c r="BO148" s="148"/>
      <c r="BP148" s="148"/>
      <c r="BQ148" s="148"/>
      <c r="BR148" s="148"/>
      <c r="BS148" s="148"/>
      <c r="BT148" s="148"/>
      <c r="BU148" s="148"/>
      <c r="BV148" s="148"/>
      <c r="BW148" s="148"/>
      <c r="BX148" s="148"/>
    </row>
    <row r="149" spans="1:76" ht="15" thickBot="1" x14ac:dyDescent="0.4">
      <c r="A149" s="197"/>
      <c r="B149" s="216"/>
      <c r="C149" s="198"/>
      <c r="D149" s="198"/>
      <c r="E149" s="198"/>
      <c r="F149" s="198"/>
      <c r="G149" s="198"/>
      <c r="H149" s="216"/>
      <c r="I149" s="198"/>
      <c r="J149" s="198"/>
      <c r="K149" s="198"/>
      <c r="L149" s="198"/>
      <c r="M149" s="216"/>
      <c r="N149" s="198"/>
      <c r="O149" s="198"/>
      <c r="P149" s="198"/>
      <c r="Q149" s="198"/>
      <c r="R149" s="198"/>
      <c r="S149" s="198"/>
      <c r="T149" s="198"/>
      <c r="U149" s="198"/>
    </row>
    <row r="152" spans="1:76" x14ac:dyDescent="0.35">
      <c r="A152" s="180" t="s">
        <v>0</v>
      </c>
      <c r="B152" s="209" t="s">
        <v>1</v>
      </c>
      <c r="C152" s="181" t="s">
        <v>2</v>
      </c>
      <c r="D152" s="182" t="s">
        <v>3</v>
      </c>
      <c r="E152" s="182" t="s">
        <v>4</v>
      </c>
      <c r="F152" s="182" t="s">
        <v>5</v>
      </c>
      <c r="G152" s="182" t="s">
        <v>6</v>
      </c>
      <c r="H152" s="209" t="s">
        <v>7</v>
      </c>
      <c r="I152" s="182" t="s">
        <v>8</v>
      </c>
      <c r="J152" s="182" t="s">
        <v>9</v>
      </c>
      <c r="K152" s="182" t="s">
        <v>10</v>
      </c>
      <c r="L152" s="182" t="s">
        <v>11</v>
      </c>
      <c r="M152" s="209" t="s">
        <v>12</v>
      </c>
      <c r="N152" s="182" t="s">
        <v>13</v>
      </c>
      <c r="O152" s="182" t="s">
        <v>14</v>
      </c>
      <c r="P152" s="182" t="s">
        <v>15</v>
      </c>
      <c r="Q152" s="182" t="s">
        <v>16</v>
      </c>
      <c r="R152" s="183" t="s">
        <v>17</v>
      </c>
      <c r="S152" s="184" t="s">
        <v>23</v>
      </c>
      <c r="T152" s="184" t="s">
        <v>24</v>
      </c>
      <c r="U152" s="185" t="s">
        <v>18</v>
      </c>
      <c r="V152" s="82"/>
    </row>
    <row r="153" spans="1:76" x14ac:dyDescent="0.35">
      <c r="A153" s="154" t="s">
        <v>36</v>
      </c>
      <c r="B153" s="217">
        <v>10578</v>
      </c>
      <c r="C153" s="199">
        <v>10578</v>
      </c>
      <c r="D153" s="199">
        <v>10578</v>
      </c>
      <c r="E153" s="199">
        <v>10578</v>
      </c>
      <c r="F153" s="199">
        <v>10578</v>
      </c>
      <c r="G153" s="199">
        <v>10578</v>
      </c>
      <c r="H153" s="217">
        <v>10578</v>
      </c>
      <c r="I153" s="199">
        <v>10578</v>
      </c>
      <c r="J153" s="199">
        <v>10578</v>
      </c>
      <c r="K153" s="199">
        <v>10578</v>
      </c>
      <c r="L153" s="199">
        <v>10578</v>
      </c>
      <c r="M153" s="217">
        <v>10578</v>
      </c>
      <c r="N153" s="199">
        <v>10578</v>
      </c>
      <c r="O153" s="199">
        <v>10578</v>
      </c>
      <c r="P153" s="199">
        <v>10578</v>
      </c>
      <c r="Q153" s="199">
        <v>10578</v>
      </c>
      <c r="R153" s="199">
        <v>10578</v>
      </c>
      <c r="S153" s="199">
        <v>10578</v>
      </c>
      <c r="T153" s="199">
        <v>10578</v>
      </c>
      <c r="U153" s="200">
        <v>200980</v>
      </c>
    </row>
    <row r="154" spans="1:76" x14ac:dyDescent="0.35">
      <c r="A154" s="187" t="s">
        <v>20</v>
      </c>
      <c r="B154" s="218">
        <f>B153*0.17</f>
        <v>1798.2600000000002</v>
      </c>
      <c r="C154" s="201">
        <f t="shared" ref="C154:U154" si="202">C153*0.17</f>
        <v>1798.2600000000002</v>
      </c>
      <c r="D154" s="201">
        <f t="shared" si="202"/>
        <v>1798.2600000000002</v>
      </c>
      <c r="E154" s="201">
        <f t="shared" si="202"/>
        <v>1798.2600000000002</v>
      </c>
      <c r="F154" s="201">
        <f t="shared" si="202"/>
        <v>1798.2600000000002</v>
      </c>
      <c r="G154" s="201">
        <f t="shared" si="202"/>
        <v>1798.2600000000002</v>
      </c>
      <c r="H154" s="218">
        <f t="shared" si="202"/>
        <v>1798.2600000000002</v>
      </c>
      <c r="I154" s="201">
        <f t="shared" si="202"/>
        <v>1798.2600000000002</v>
      </c>
      <c r="J154" s="201">
        <f t="shared" si="202"/>
        <v>1798.2600000000002</v>
      </c>
      <c r="K154" s="201">
        <f t="shared" si="202"/>
        <v>1798.2600000000002</v>
      </c>
      <c r="L154" s="201">
        <f t="shared" si="202"/>
        <v>1798.2600000000002</v>
      </c>
      <c r="M154" s="218">
        <f t="shared" si="202"/>
        <v>1798.2600000000002</v>
      </c>
      <c r="N154" s="201">
        <f t="shared" si="202"/>
        <v>1798.2600000000002</v>
      </c>
      <c r="O154" s="201">
        <f t="shared" si="202"/>
        <v>1798.2600000000002</v>
      </c>
      <c r="P154" s="201">
        <f t="shared" si="202"/>
        <v>1798.2600000000002</v>
      </c>
      <c r="Q154" s="201">
        <f t="shared" si="202"/>
        <v>1798.2600000000002</v>
      </c>
      <c r="R154" s="201">
        <f t="shared" si="202"/>
        <v>1798.2600000000002</v>
      </c>
      <c r="S154" s="201">
        <f t="shared" si="202"/>
        <v>1798.2600000000002</v>
      </c>
      <c r="T154" s="201">
        <f t="shared" si="202"/>
        <v>1798.2600000000002</v>
      </c>
      <c r="U154" s="202">
        <f t="shared" si="202"/>
        <v>34166.600000000006</v>
      </c>
    </row>
    <row r="155" spans="1:76" x14ac:dyDescent="0.35">
      <c r="A155" s="187" t="s">
        <v>21</v>
      </c>
      <c r="B155" s="218">
        <f>B153*0.3</f>
        <v>3173.4</v>
      </c>
      <c r="C155" s="201">
        <f t="shared" ref="C155:U155" si="203">C153*0.3</f>
        <v>3173.4</v>
      </c>
      <c r="D155" s="201">
        <f t="shared" si="203"/>
        <v>3173.4</v>
      </c>
      <c r="E155" s="201">
        <f t="shared" si="203"/>
        <v>3173.4</v>
      </c>
      <c r="F155" s="201">
        <f t="shared" si="203"/>
        <v>3173.4</v>
      </c>
      <c r="G155" s="201">
        <f t="shared" si="203"/>
        <v>3173.4</v>
      </c>
      <c r="H155" s="218">
        <f t="shared" si="203"/>
        <v>3173.4</v>
      </c>
      <c r="I155" s="201">
        <f t="shared" si="203"/>
        <v>3173.4</v>
      </c>
      <c r="J155" s="201">
        <f t="shared" si="203"/>
        <v>3173.4</v>
      </c>
      <c r="K155" s="201">
        <f t="shared" si="203"/>
        <v>3173.4</v>
      </c>
      <c r="L155" s="201">
        <f t="shared" si="203"/>
        <v>3173.4</v>
      </c>
      <c r="M155" s="218">
        <f t="shared" si="203"/>
        <v>3173.4</v>
      </c>
      <c r="N155" s="201">
        <f t="shared" si="203"/>
        <v>3173.4</v>
      </c>
      <c r="O155" s="201">
        <f t="shared" si="203"/>
        <v>3173.4</v>
      </c>
      <c r="P155" s="201">
        <f t="shared" si="203"/>
        <v>3173.4</v>
      </c>
      <c r="Q155" s="201">
        <f t="shared" si="203"/>
        <v>3173.4</v>
      </c>
      <c r="R155" s="201">
        <f t="shared" si="203"/>
        <v>3173.4</v>
      </c>
      <c r="S155" s="201">
        <f t="shared" si="203"/>
        <v>3173.4</v>
      </c>
      <c r="T155" s="201">
        <f t="shared" si="203"/>
        <v>3173.4</v>
      </c>
      <c r="U155" s="202">
        <f t="shared" si="203"/>
        <v>60294</v>
      </c>
    </row>
    <row r="156" spans="1:76" s="80" customFormat="1" x14ac:dyDescent="0.35">
      <c r="A156" s="187" t="s">
        <v>26</v>
      </c>
      <c r="B156" s="218">
        <f>B153*0.33</f>
        <v>3490.7400000000002</v>
      </c>
      <c r="C156" s="201">
        <f t="shared" ref="C156:U156" si="204">C153*0.33</f>
        <v>3490.7400000000002</v>
      </c>
      <c r="D156" s="201">
        <f t="shared" si="204"/>
        <v>3490.7400000000002</v>
      </c>
      <c r="E156" s="201">
        <f t="shared" si="204"/>
        <v>3490.7400000000002</v>
      </c>
      <c r="F156" s="201">
        <f t="shared" si="204"/>
        <v>3490.7400000000002</v>
      </c>
      <c r="G156" s="201">
        <f t="shared" si="204"/>
        <v>3490.7400000000002</v>
      </c>
      <c r="H156" s="218">
        <f t="shared" si="204"/>
        <v>3490.7400000000002</v>
      </c>
      <c r="I156" s="201">
        <f t="shared" si="204"/>
        <v>3490.7400000000002</v>
      </c>
      <c r="J156" s="201">
        <f t="shared" si="204"/>
        <v>3490.7400000000002</v>
      </c>
      <c r="K156" s="201">
        <f t="shared" si="204"/>
        <v>3490.7400000000002</v>
      </c>
      <c r="L156" s="201">
        <f t="shared" si="204"/>
        <v>3490.7400000000002</v>
      </c>
      <c r="M156" s="218">
        <f t="shared" si="204"/>
        <v>3490.7400000000002</v>
      </c>
      <c r="N156" s="201">
        <f t="shared" si="204"/>
        <v>3490.7400000000002</v>
      </c>
      <c r="O156" s="201">
        <f t="shared" si="204"/>
        <v>3490.7400000000002</v>
      </c>
      <c r="P156" s="201">
        <f t="shared" si="204"/>
        <v>3490.7400000000002</v>
      </c>
      <c r="Q156" s="201">
        <f t="shared" si="204"/>
        <v>3490.7400000000002</v>
      </c>
      <c r="R156" s="201">
        <f t="shared" si="204"/>
        <v>3490.7400000000002</v>
      </c>
      <c r="S156" s="201">
        <f t="shared" si="204"/>
        <v>3490.7400000000002</v>
      </c>
      <c r="T156" s="201">
        <f t="shared" si="204"/>
        <v>3490.7400000000002</v>
      </c>
      <c r="U156" s="202">
        <f t="shared" si="204"/>
        <v>66323.400000000009</v>
      </c>
      <c r="V156" s="146"/>
      <c r="W156" s="148"/>
      <c r="X156" s="147"/>
      <c r="Y156" s="148"/>
      <c r="Z156" s="148"/>
      <c r="AA156" s="148"/>
      <c r="AB156" s="148"/>
      <c r="AC156" s="148"/>
      <c r="AD156" s="148"/>
      <c r="AE156" s="148"/>
      <c r="AF156" s="148"/>
      <c r="AG156" s="148"/>
      <c r="AH156" s="148"/>
      <c r="AI156" s="148"/>
      <c r="AJ156" s="151"/>
      <c r="AK156" s="148"/>
      <c r="AL156" s="148"/>
      <c r="AM156" s="148"/>
      <c r="AN156" s="151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8"/>
      <c r="BC156" s="148"/>
      <c r="BD156" s="148"/>
      <c r="BE156" s="148"/>
      <c r="BF156" s="148"/>
      <c r="BG156" s="148"/>
      <c r="BH156" s="148"/>
      <c r="BI156" s="148"/>
      <c r="BJ156" s="148"/>
      <c r="BK156" s="148"/>
      <c r="BL156" s="148"/>
      <c r="BM156" s="148"/>
      <c r="BN156" s="148"/>
      <c r="BO156" s="148"/>
      <c r="BP156" s="148"/>
      <c r="BQ156" s="148"/>
      <c r="BR156" s="148"/>
      <c r="BS156" s="148"/>
      <c r="BT156" s="148"/>
      <c r="BU156" s="148"/>
      <c r="BV156" s="148"/>
      <c r="BW156" s="148"/>
      <c r="BX156" s="148"/>
    </row>
    <row r="157" spans="1:76" ht="15" thickBot="1" x14ac:dyDescent="0.4">
      <c r="A157" s="190" t="s">
        <v>22</v>
      </c>
      <c r="B157" s="218">
        <f>B153*0.2</f>
        <v>2115.6</v>
      </c>
      <c r="C157" s="201">
        <f t="shared" ref="C157:U157" si="205">C153*0.2</f>
        <v>2115.6</v>
      </c>
      <c r="D157" s="201">
        <f t="shared" si="205"/>
        <v>2115.6</v>
      </c>
      <c r="E157" s="201">
        <f t="shared" si="205"/>
        <v>2115.6</v>
      </c>
      <c r="F157" s="201">
        <f t="shared" si="205"/>
        <v>2115.6</v>
      </c>
      <c r="G157" s="201">
        <f t="shared" si="205"/>
        <v>2115.6</v>
      </c>
      <c r="H157" s="218">
        <f t="shared" si="205"/>
        <v>2115.6</v>
      </c>
      <c r="I157" s="201">
        <f t="shared" si="205"/>
        <v>2115.6</v>
      </c>
      <c r="J157" s="201">
        <f t="shared" si="205"/>
        <v>2115.6</v>
      </c>
      <c r="K157" s="201">
        <f t="shared" si="205"/>
        <v>2115.6</v>
      </c>
      <c r="L157" s="201">
        <f t="shared" si="205"/>
        <v>2115.6</v>
      </c>
      <c r="M157" s="218">
        <f t="shared" si="205"/>
        <v>2115.6</v>
      </c>
      <c r="N157" s="201">
        <f t="shared" si="205"/>
        <v>2115.6</v>
      </c>
      <c r="O157" s="201">
        <f t="shared" si="205"/>
        <v>2115.6</v>
      </c>
      <c r="P157" s="201">
        <f t="shared" si="205"/>
        <v>2115.6</v>
      </c>
      <c r="Q157" s="201">
        <f t="shared" si="205"/>
        <v>2115.6</v>
      </c>
      <c r="R157" s="201">
        <f t="shared" si="205"/>
        <v>2115.6</v>
      </c>
      <c r="S157" s="201">
        <f t="shared" si="205"/>
        <v>2115.6</v>
      </c>
      <c r="T157" s="201">
        <f t="shared" si="205"/>
        <v>2115.6</v>
      </c>
      <c r="U157" s="202">
        <f t="shared" si="205"/>
        <v>40196</v>
      </c>
    </row>
    <row r="158" spans="1:76" s="78" customFormat="1" ht="15" thickBot="1" x14ac:dyDescent="0.4">
      <c r="A158" s="179"/>
      <c r="B158" s="212"/>
      <c r="C158" s="179"/>
      <c r="D158" s="179"/>
      <c r="E158" s="179"/>
      <c r="F158" s="179"/>
      <c r="G158" s="179"/>
      <c r="H158" s="212"/>
      <c r="I158" s="179"/>
      <c r="J158" s="179"/>
      <c r="K158" s="179"/>
      <c r="L158" s="179"/>
      <c r="M158" s="212"/>
      <c r="N158" s="179"/>
      <c r="O158" s="179"/>
      <c r="P158" s="179"/>
      <c r="Q158" s="179"/>
      <c r="R158" s="179"/>
      <c r="S158" s="179"/>
      <c r="T158" s="179"/>
      <c r="U158" s="179"/>
      <c r="V158" s="84"/>
      <c r="W158" s="148"/>
      <c r="X158" s="147"/>
      <c r="Y158" s="148"/>
      <c r="Z158" s="148"/>
      <c r="AA158" s="148"/>
      <c r="AB158" s="148"/>
      <c r="AC158" s="148"/>
      <c r="AD158" s="148"/>
      <c r="AE158" s="148"/>
      <c r="AF158" s="148"/>
      <c r="AG158" s="148"/>
      <c r="AH158" s="148"/>
      <c r="AI158" s="148"/>
      <c r="AJ158" s="151"/>
      <c r="AK158" s="148"/>
      <c r="AL158" s="148"/>
      <c r="AM158" s="148"/>
      <c r="AN158" s="151"/>
      <c r="AO158" s="148"/>
      <c r="AP158" s="148"/>
      <c r="AQ158" s="148"/>
      <c r="AR158" s="148"/>
      <c r="AS158" s="148"/>
      <c r="AT158" s="148"/>
      <c r="AU158" s="148"/>
      <c r="AV158" s="148"/>
      <c r="AW158" s="148"/>
      <c r="AX158" s="148"/>
      <c r="AY158" s="148"/>
      <c r="AZ158" s="148"/>
      <c r="BA158" s="148"/>
      <c r="BB158" s="148"/>
      <c r="BC158" s="148"/>
      <c r="BD158" s="148"/>
      <c r="BE158" s="148"/>
      <c r="BF158" s="148"/>
      <c r="BG158" s="148"/>
      <c r="BH158" s="148"/>
      <c r="BI158" s="148"/>
      <c r="BJ158" s="148"/>
      <c r="BK158" s="148"/>
      <c r="BL158" s="148"/>
      <c r="BM158" s="148"/>
      <c r="BN158" s="148"/>
      <c r="BO158" s="148"/>
      <c r="BP158" s="148"/>
      <c r="BQ158" s="148"/>
      <c r="BR158" s="148"/>
      <c r="BS158" s="148"/>
      <c r="BT158" s="148"/>
      <c r="BU158" s="148"/>
      <c r="BV158" s="148"/>
      <c r="BW158" s="148"/>
      <c r="BX158" s="148"/>
    </row>
    <row r="159" spans="1:76" s="77" customFormat="1" x14ac:dyDescent="0.35">
      <c r="A159" s="191" t="s">
        <v>55</v>
      </c>
      <c r="B159" s="213"/>
      <c r="C159" s="192"/>
      <c r="D159" s="192"/>
      <c r="E159" s="192"/>
      <c r="F159" s="192"/>
      <c r="G159" s="192"/>
      <c r="H159" s="213"/>
      <c r="I159" s="192"/>
      <c r="J159" s="192"/>
      <c r="K159" s="192"/>
      <c r="L159" s="192"/>
      <c r="M159" s="213"/>
      <c r="N159" s="192"/>
      <c r="O159" s="192"/>
      <c r="P159" s="192"/>
      <c r="Q159" s="192"/>
      <c r="R159" s="192"/>
      <c r="S159" s="192"/>
      <c r="T159" s="192"/>
      <c r="U159" s="192"/>
      <c r="V159" s="85"/>
      <c r="W159" s="148"/>
      <c r="X159" s="147"/>
      <c r="Y159" s="168"/>
      <c r="Z159" s="168"/>
      <c r="AA159" s="168"/>
      <c r="AB159" s="168"/>
      <c r="AC159" s="168"/>
      <c r="AD159" s="168"/>
      <c r="AE159" s="168"/>
      <c r="AF159" s="168"/>
      <c r="AG159" s="168"/>
      <c r="AH159" s="168"/>
      <c r="AI159" s="168"/>
      <c r="AJ159" s="151"/>
      <c r="AK159" s="168"/>
      <c r="AL159" s="168"/>
      <c r="AM159" s="168"/>
      <c r="AN159" s="151"/>
      <c r="AO159" s="168"/>
      <c r="AP159" s="148"/>
      <c r="AQ159" s="148"/>
      <c r="AR159" s="148"/>
      <c r="AS159" s="148"/>
      <c r="AT159" s="148"/>
      <c r="AU159" s="148"/>
      <c r="AV159" s="148"/>
      <c r="AW159" s="148"/>
      <c r="AX159" s="148"/>
      <c r="AY159" s="148"/>
      <c r="AZ159" s="148"/>
      <c r="BA159" s="148"/>
      <c r="BB159" s="148"/>
      <c r="BC159" s="148"/>
      <c r="BD159" s="148"/>
      <c r="BE159" s="148"/>
      <c r="BF159" s="148"/>
      <c r="BG159" s="148"/>
      <c r="BH159" s="148"/>
      <c r="BI159" s="148"/>
      <c r="BJ159" s="148"/>
      <c r="BK159" s="148"/>
      <c r="BL159" s="148"/>
      <c r="BM159" s="148"/>
      <c r="BN159" s="148"/>
      <c r="BO159" s="148"/>
      <c r="BP159" s="148"/>
      <c r="BQ159" s="148"/>
      <c r="BR159" s="148"/>
      <c r="BS159" s="148"/>
      <c r="BT159" s="148"/>
      <c r="BU159" s="148"/>
      <c r="BV159" s="148"/>
      <c r="BW159" s="148"/>
      <c r="BX159" s="148"/>
    </row>
    <row r="160" spans="1:76" s="77" customFormat="1" x14ac:dyDescent="0.35">
      <c r="A160" s="193" t="s">
        <v>112</v>
      </c>
      <c r="B160" s="214">
        <f>(B154*$AG$27)+('reference data- 2'!B155*$AG$28)+('reference data- 2'!B156*$AG$29)+('reference data- 2'!B157*$AG$30)*30</f>
        <v>51857956.660689771</v>
      </c>
      <c r="C160" s="214">
        <f>(C154*$AG$27)+('reference data- 2'!C155*$AG$28)+('reference data- 2'!C156*$AG$29)+('reference data- 2'!C157*$AG$30)*30</f>
        <v>51857956.660689771</v>
      </c>
      <c r="D160" s="214">
        <f>(D154*$AG$27)+('reference data- 2'!D155*$AG$28)+('reference data- 2'!D156*$AG$29)+('reference data- 2'!D157*$AG$30)*30</f>
        <v>51857956.660689771</v>
      </c>
      <c r="E160" s="214">
        <f>(E154*$AG$27)+('reference data- 2'!E155*$AG$28)+('reference data- 2'!E156*$AG$29)+('reference data- 2'!E157*$AG$30)*30</f>
        <v>51857956.660689771</v>
      </c>
      <c r="F160" s="214">
        <f>(F154*$AG$27)+('reference data- 2'!F155*$AG$28)+('reference data- 2'!F156*$AG$29)+('reference data- 2'!F157*$AG$30)*30</f>
        <v>51857956.660689771</v>
      </c>
      <c r="G160" s="214">
        <f>(G154*$AG$27)+('reference data- 2'!G155*$AG$28)+('reference data- 2'!G156*$AG$29)+('reference data- 2'!G157*$AG$30)*30</f>
        <v>51857956.660689771</v>
      </c>
      <c r="H160" s="214">
        <f>(B154*$AK$27)+('reference data- 2'!B155*$AK$28)+('reference data- 2'!B156*$AK$29)+('reference data- 2'!B157*$AK$30)*30</f>
        <v>51633486.226736762</v>
      </c>
      <c r="I160" s="214">
        <f>(C154*$AK$27)+('reference data- 2'!C155*$AK$28)+('reference data- 2'!C156*$AK$29)+('reference data- 2'!C157*$AK$30)*30</f>
        <v>51633486.226736762</v>
      </c>
      <c r="J160" s="214">
        <f>(D154*$AK$27)+('reference data- 2'!D155*$AK$28)+('reference data- 2'!D156*$AK$29)+('reference data- 2'!D157*$AK$30)*30</f>
        <v>51633486.226736762</v>
      </c>
      <c r="K160" s="214">
        <f>(E154*$AK$27)+('reference data- 2'!E155*$AK$28)+('reference data- 2'!E156*$AK$29)+('reference data- 2'!E157*$AK$30)*30</f>
        <v>51633486.226736762</v>
      </c>
      <c r="L160" s="214">
        <f>(F154*$AK$27)+('reference data- 2'!F155*$AK$28)+('reference data- 2'!F156*$AK$29)+('reference data- 2'!F157*$AK$30)*30</f>
        <v>51633486.226736762</v>
      </c>
      <c r="M160" s="214">
        <f>(B154*$AO$27)+('reference data- 2'!B155*$AO$28)+('reference data- 2'!B156*$AO$29)+('reference data- 2'!B157*$AO$30)*30</f>
        <v>50919262.118704468</v>
      </c>
      <c r="N160" s="214">
        <f>(C154*$AO$27)+('reference data- 2'!C155*$AO$28)+('reference data- 2'!C156*$AO$29)+('reference data- 2'!C157*$AO$30)*30</f>
        <v>50919262.118704468</v>
      </c>
      <c r="O160" s="214">
        <f>(D154*$AO$27)+('reference data- 2'!D155*$AO$28)+('reference data- 2'!D156*$AO$29)+('reference data- 2'!D157*$AO$30)*30</f>
        <v>50919262.118704468</v>
      </c>
      <c r="P160" s="214">
        <f>(E154*$AO$27)+('reference data- 2'!E155*$AO$28)+('reference data- 2'!E156*$AO$29)+('reference data- 2'!E157*$AO$30)*30</f>
        <v>50919262.118704468</v>
      </c>
      <c r="Q160" s="214">
        <f>(F154*$AO$27)+('reference data- 2'!F155*$AO$28)+('reference data- 2'!F156*$AO$29)+('reference data- 2'!F157*$AO$30)*30</f>
        <v>50919262.118704468</v>
      </c>
      <c r="R160" s="214">
        <f>(G154*$AO$27)+('reference data- 2'!G155*$AO$28)+('reference data- 2'!G156*$AO$29)+('reference data- 2'!G157*$AO$30)*30</f>
        <v>50919262.118704468</v>
      </c>
      <c r="S160" s="214">
        <f>(H154*$AO$27)+('reference data- 2'!H155*$AO$28)+('reference data- 2'!H156*$AO$29)+('reference data- 2'!H157*$AO$30)*30</f>
        <v>50919262.118704468</v>
      </c>
      <c r="T160" s="214">
        <f>(I154*$AO$27)+('reference data- 2'!I155*$AO$28)+('reference data- 2'!I156*$AO$29)+('reference data- 2'!I157*$AO$30)*30</f>
        <v>50919262.118704468</v>
      </c>
      <c r="U160" s="194">
        <f>SUM(B160:T160)</f>
        <v>976669268.04745805</v>
      </c>
      <c r="V160" s="86"/>
      <c r="W160" s="148"/>
      <c r="X160" s="147"/>
      <c r="Y160" s="168"/>
      <c r="Z160" s="168"/>
      <c r="AA160" s="168"/>
      <c r="AB160" s="168"/>
      <c r="AC160" s="168"/>
      <c r="AD160" s="168"/>
      <c r="AE160" s="168"/>
      <c r="AF160" s="168"/>
      <c r="AG160" s="168"/>
      <c r="AH160" s="168"/>
      <c r="AI160" s="168"/>
      <c r="AJ160" s="151"/>
      <c r="AK160" s="168"/>
      <c r="AL160" s="168"/>
      <c r="AM160" s="168"/>
      <c r="AN160" s="151"/>
      <c r="AO160" s="168"/>
      <c r="AP160" s="148"/>
      <c r="AQ160" s="148"/>
      <c r="AR160" s="148"/>
      <c r="AS160" s="148"/>
      <c r="AT160" s="148"/>
      <c r="AU160" s="148"/>
      <c r="AV160" s="148"/>
      <c r="AW160" s="148"/>
      <c r="AX160" s="148"/>
      <c r="AY160" s="148"/>
      <c r="AZ160" s="148"/>
      <c r="BA160" s="148"/>
      <c r="BB160" s="148"/>
      <c r="BC160" s="148"/>
      <c r="BD160" s="148"/>
      <c r="BE160" s="148"/>
      <c r="BF160" s="148"/>
      <c r="BG160" s="148"/>
      <c r="BH160" s="148"/>
      <c r="BI160" s="148"/>
      <c r="BJ160" s="148"/>
      <c r="BK160" s="148"/>
      <c r="BL160" s="148"/>
      <c r="BM160" s="148"/>
      <c r="BN160" s="148"/>
      <c r="BO160" s="148"/>
      <c r="BP160" s="148"/>
      <c r="BQ160" s="148"/>
      <c r="BR160" s="148"/>
      <c r="BS160" s="148"/>
      <c r="BT160" s="148"/>
      <c r="BU160" s="148"/>
      <c r="BV160" s="148"/>
      <c r="BW160" s="148"/>
      <c r="BX160" s="148"/>
    </row>
    <row r="161" spans="1:76" s="155" customFormat="1" x14ac:dyDescent="0.35">
      <c r="A161" s="193" t="s">
        <v>111</v>
      </c>
      <c r="B161" s="214">
        <f t="shared" ref="B161" si="206">B160/1000</f>
        <v>51857.956660689772</v>
      </c>
      <c r="C161" s="214">
        <f t="shared" ref="C161" si="207">C160/1000</f>
        <v>51857.956660689772</v>
      </c>
      <c r="D161" s="214">
        <f t="shared" ref="D161" si="208">D160/1000</f>
        <v>51857.956660689772</v>
      </c>
      <c r="E161" s="214">
        <f t="shared" ref="E161" si="209">E160/1000</f>
        <v>51857.956660689772</v>
      </c>
      <c r="F161" s="214">
        <f t="shared" ref="F161" si="210">F160/1000</f>
        <v>51857.956660689772</v>
      </c>
      <c r="G161" s="214">
        <f t="shared" ref="G161" si="211">G160/1000</f>
        <v>51857.956660689772</v>
      </c>
      <c r="H161" s="214">
        <f t="shared" ref="H161" si="212">H160/1000</f>
        <v>51633.486226736764</v>
      </c>
      <c r="I161" s="214">
        <f t="shared" ref="I161" si="213">I160/1000</f>
        <v>51633.486226736764</v>
      </c>
      <c r="J161" s="214">
        <f t="shared" ref="J161" si="214">J160/1000</f>
        <v>51633.486226736764</v>
      </c>
      <c r="K161" s="214">
        <f t="shared" ref="K161" si="215">K160/1000</f>
        <v>51633.486226736764</v>
      </c>
      <c r="L161" s="214">
        <f t="shared" ref="L161" si="216">L160/1000</f>
        <v>51633.486226736764</v>
      </c>
      <c r="M161" s="214">
        <f t="shared" ref="M161" si="217">M160/1000</f>
        <v>50919.262118704472</v>
      </c>
      <c r="N161" s="214">
        <f>N160/1000</f>
        <v>50919.262118704472</v>
      </c>
      <c r="O161" s="214">
        <f t="shared" ref="O161" si="218">O160/1000</f>
        <v>50919.262118704472</v>
      </c>
      <c r="P161" s="214">
        <f t="shared" ref="P161" si="219">P160/1000</f>
        <v>50919.262118704472</v>
      </c>
      <c r="Q161" s="214">
        <f t="shared" ref="Q161" si="220">Q160/1000</f>
        <v>50919.262118704472</v>
      </c>
      <c r="R161" s="214">
        <f t="shared" ref="R161" si="221">R160/1000</f>
        <v>50919.262118704472</v>
      </c>
      <c r="S161" s="214">
        <f t="shared" ref="S161" si="222">S160/1000</f>
        <v>50919.262118704472</v>
      </c>
      <c r="T161" s="214">
        <f t="shared" ref="T161" si="223">T160/1000</f>
        <v>50919.262118704472</v>
      </c>
      <c r="U161" s="214">
        <f t="shared" ref="U161" si="224">U160/1000</f>
        <v>976669.26804745803</v>
      </c>
      <c r="V161" s="162"/>
      <c r="W161" s="168"/>
      <c r="X161" s="147"/>
      <c r="Y161" s="168"/>
      <c r="Z161" s="168"/>
      <c r="AA161" s="168"/>
      <c r="AB161" s="168"/>
      <c r="AC161" s="168"/>
      <c r="AD161" s="168"/>
      <c r="AE161" s="168"/>
      <c r="AF161" s="168"/>
      <c r="AG161" s="168"/>
      <c r="AH161" s="168"/>
      <c r="AI161" s="168"/>
      <c r="AJ161" s="151"/>
      <c r="AK161" s="168"/>
      <c r="AL161" s="168"/>
      <c r="AM161" s="168"/>
      <c r="AN161" s="151"/>
      <c r="AO161" s="168"/>
      <c r="AP161" s="168"/>
      <c r="AQ161" s="168"/>
      <c r="AR161" s="168"/>
      <c r="AS161" s="168"/>
      <c r="AT161" s="168"/>
      <c r="AU161" s="168"/>
      <c r="AV161" s="168"/>
      <c r="AW161" s="168"/>
      <c r="AX161" s="168"/>
      <c r="AY161" s="168"/>
      <c r="AZ161" s="168"/>
      <c r="BA161" s="168"/>
      <c r="BB161" s="168"/>
      <c r="BC161" s="168"/>
      <c r="BD161" s="168"/>
      <c r="BE161" s="168"/>
      <c r="BF161" s="168"/>
      <c r="BG161" s="168"/>
      <c r="BH161" s="168"/>
      <c r="BI161" s="168"/>
      <c r="BJ161" s="168"/>
      <c r="BK161" s="168"/>
      <c r="BL161" s="168"/>
      <c r="BM161" s="168"/>
      <c r="BN161" s="168"/>
      <c r="BO161" s="168"/>
      <c r="BP161" s="168"/>
      <c r="BQ161" s="168"/>
      <c r="BR161" s="168"/>
      <c r="BS161" s="168"/>
      <c r="BT161" s="168"/>
      <c r="BU161" s="168"/>
      <c r="BV161" s="168"/>
      <c r="BW161" s="168"/>
      <c r="BX161" s="168"/>
    </row>
    <row r="162" spans="1:76" s="77" customFormat="1" x14ac:dyDescent="0.35">
      <c r="A162" s="193" t="s">
        <v>64</v>
      </c>
      <c r="B162" s="215">
        <f>B161*144</f>
        <v>7467545.7591393273</v>
      </c>
      <c r="C162" s="215">
        <f t="shared" ref="C162:U162" si="225">C161*144</f>
        <v>7467545.7591393273</v>
      </c>
      <c r="D162" s="215">
        <f t="shared" si="225"/>
        <v>7467545.7591393273</v>
      </c>
      <c r="E162" s="215">
        <f t="shared" si="225"/>
        <v>7467545.7591393273</v>
      </c>
      <c r="F162" s="215">
        <f t="shared" si="225"/>
        <v>7467545.7591393273</v>
      </c>
      <c r="G162" s="215">
        <f t="shared" si="225"/>
        <v>7467545.7591393273</v>
      </c>
      <c r="H162" s="215">
        <f t="shared" si="225"/>
        <v>7435222.0166500937</v>
      </c>
      <c r="I162" s="215">
        <f t="shared" si="225"/>
        <v>7435222.0166500937</v>
      </c>
      <c r="J162" s="215">
        <f t="shared" si="225"/>
        <v>7435222.0166500937</v>
      </c>
      <c r="K162" s="215">
        <f t="shared" si="225"/>
        <v>7435222.0166500937</v>
      </c>
      <c r="L162" s="215">
        <f t="shared" si="225"/>
        <v>7435222.0166500937</v>
      </c>
      <c r="M162" s="215">
        <f t="shared" si="225"/>
        <v>7332373.7450934444</v>
      </c>
      <c r="N162" s="215">
        <f t="shared" si="225"/>
        <v>7332373.7450934444</v>
      </c>
      <c r="O162" s="215">
        <f t="shared" si="225"/>
        <v>7332373.7450934444</v>
      </c>
      <c r="P162" s="215">
        <f t="shared" si="225"/>
        <v>7332373.7450934444</v>
      </c>
      <c r="Q162" s="215">
        <f t="shared" si="225"/>
        <v>7332373.7450934444</v>
      </c>
      <c r="R162" s="215">
        <f t="shared" si="225"/>
        <v>7332373.7450934444</v>
      </c>
      <c r="S162" s="215">
        <f t="shared" si="225"/>
        <v>7332373.7450934444</v>
      </c>
      <c r="T162" s="215">
        <f t="shared" si="225"/>
        <v>7332373.7450934444</v>
      </c>
      <c r="U162" s="215">
        <f t="shared" si="225"/>
        <v>140640374.59883395</v>
      </c>
      <c r="V162" s="85"/>
      <c r="W162" s="148"/>
      <c r="X162" s="147"/>
      <c r="Y162" s="168"/>
      <c r="Z162" s="168"/>
      <c r="AA162" s="168"/>
      <c r="AB162" s="168"/>
      <c r="AC162" s="168"/>
      <c r="AD162" s="168"/>
      <c r="AE162" s="168"/>
      <c r="AF162" s="168"/>
      <c r="AG162" s="168"/>
      <c r="AH162" s="168"/>
      <c r="AI162" s="168"/>
      <c r="AJ162" s="151"/>
      <c r="AK162" s="168"/>
      <c r="AL162" s="168"/>
      <c r="AM162" s="168"/>
      <c r="AN162" s="151"/>
      <c r="AO162" s="168"/>
      <c r="AP162" s="148"/>
      <c r="AQ162" s="148"/>
      <c r="AR162" s="148"/>
      <c r="AS162" s="148"/>
      <c r="AT162" s="148"/>
      <c r="AU162" s="148"/>
      <c r="AV162" s="148"/>
      <c r="AW162" s="148"/>
      <c r="AX162" s="148"/>
      <c r="AY162" s="148"/>
      <c r="AZ162" s="148"/>
      <c r="BA162" s="148"/>
      <c r="BB162" s="148"/>
      <c r="BC162" s="148"/>
      <c r="BD162" s="148"/>
      <c r="BE162" s="148"/>
      <c r="BF162" s="148"/>
      <c r="BG162" s="148"/>
      <c r="BH162" s="148"/>
      <c r="BI162" s="148"/>
      <c r="BJ162" s="148"/>
      <c r="BK162" s="148"/>
      <c r="BL162" s="148"/>
      <c r="BM162" s="148"/>
      <c r="BN162" s="148"/>
      <c r="BO162" s="148"/>
      <c r="BP162" s="148"/>
      <c r="BQ162" s="148"/>
      <c r="BR162" s="148"/>
      <c r="BS162" s="148"/>
      <c r="BT162" s="148"/>
      <c r="BU162" s="148"/>
      <c r="BV162" s="148"/>
      <c r="BW162" s="148"/>
      <c r="BX162" s="148"/>
    </row>
    <row r="163" spans="1:76" s="79" customFormat="1" ht="15" thickBot="1" x14ac:dyDescent="0.4">
      <c r="A163" s="193"/>
      <c r="B163" s="213"/>
      <c r="C163" s="196"/>
      <c r="D163" s="194"/>
      <c r="E163" s="194"/>
      <c r="F163" s="194"/>
      <c r="G163" s="194"/>
      <c r="H163" s="214"/>
      <c r="I163" s="194"/>
      <c r="J163" s="194"/>
      <c r="K163" s="194"/>
      <c r="L163" s="194"/>
      <c r="M163" s="214"/>
      <c r="N163" s="194"/>
      <c r="O163" s="194"/>
      <c r="P163" s="194"/>
      <c r="Q163" s="194"/>
      <c r="R163" s="194"/>
      <c r="S163" s="194"/>
      <c r="T163" s="194"/>
      <c r="U163" s="194"/>
      <c r="V163" s="87"/>
      <c r="W163" s="148"/>
      <c r="X163" s="147"/>
      <c r="Y163" s="168"/>
      <c r="Z163" s="168"/>
      <c r="AA163" s="168"/>
      <c r="AB163" s="168"/>
      <c r="AC163" s="168"/>
      <c r="AD163" s="168"/>
      <c r="AE163" s="168"/>
      <c r="AF163" s="168"/>
      <c r="AG163" s="168"/>
      <c r="AH163" s="168"/>
      <c r="AI163" s="168"/>
      <c r="AJ163" s="151"/>
      <c r="AK163" s="168"/>
      <c r="AL163" s="168"/>
      <c r="AM163" s="168"/>
      <c r="AN163" s="151"/>
      <c r="AO163" s="168"/>
      <c r="AP163" s="148"/>
      <c r="AQ163" s="148"/>
      <c r="AR163" s="148"/>
      <c r="AS163" s="148"/>
      <c r="AT163" s="148"/>
      <c r="AU163" s="148"/>
      <c r="AV163" s="148"/>
      <c r="AW163" s="148"/>
      <c r="AX163" s="148"/>
      <c r="AY163" s="148"/>
      <c r="AZ163" s="148"/>
      <c r="BA163" s="148"/>
      <c r="BB163" s="148"/>
      <c r="BC163" s="148"/>
      <c r="BD163" s="148"/>
      <c r="BE163" s="148"/>
      <c r="BF163" s="148"/>
      <c r="BG163" s="148"/>
      <c r="BH163" s="148"/>
      <c r="BI163" s="148"/>
      <c r="BJ163" s="148"/>
      <c r="BK163" s="148"/>
      <c r="BL163" s="148"/>
      <c r="BM163" s="148"/>
      <c r="BN163" s="148"/>
      <c r="BO163" s="148"/>
      <c r="BP163" s="148"/>
      <c r="BQ163" s="148"/>
      <c r="BR163" s="148"/>
      <c r="BS163" s="148"/>
      <c r="BT163" s="148"/>
      <c r="BU163" s="148"/>
      <c r="BV163" s="148"/>
      <c r="BW163" s="148"/>
      <c r="BX163" s="148"/>
    </row>
    <row r="164" spans="1:76" ht="15" thickBot="1" x14ac:dyDescent="0.4">
      <c r="A164" s="197"/>
      <c r="B164" s="216"/>
      <c r="C164" s="198"/>
      <c r="D164" s="198"/>
      <c r="E164" s="198"/>
      <c r="F164" s="198"/>
      <c r="G164" s="198"/>
      <c r="H164" s="216"/>
      <c r="I164" s="198"/>
      <c r="J164" s="198"/>
      <c r="K164" s="198"/>
      <c r="L164" s="198"/>
      <c r="M164" s="216"/>
      <c r="N164" s="198"/>
      <c r="O164" s="198"/>
      <c r="P164" s="198"/>
      <c r="Q164" s="198"/>
      <c r="R164" s="198"/>
      <c r="S164" s="198"/>
      <c r="T164" s="198"/>
      <c r="U164" s="198"/>
    </row>
    <row r="167" spans="1:76" x14ac:dyDescent="0.35">
      <c r="A167" s="180" t="s">
        <v>0</v>
      </c>
      <c r="B167" s="209" t="s">
        <v>1</v>
      </c>
      <c r="C167" s="181" t="s">
        <v>2</v>
      </c>
      <c r="D167" s="182" t="s">
        <v>3</v>
      </c>
      <c r="E167" s="182" t="s">
        <v>4</v>
      </c>
      <c r="F167" s="182" t="s">
        <v>5</v>
      </c>
      <c r="G167" s="182" t="s">
        <v>6</v>
      </c>
      <c r="H167" s="209" t="s">
        <v>7</v>
      </c>
      <c r="I167" s="182" t="s">
        <v>8</v>
      </c>
      <c r="J167" s="182" t="s">
        <v>9</v>
      </c>
      <c r="K167" s="182" t="s">
        <v>10</v>
      </c>
      <c r="L167" s="182" t="s">
        <v>11</v>
      </c>
      <c r="M167" s="209" t="s">
        <v>12</v>
      </c>
      <c r="N167" s="182" t="s">
        <v>13</v>
      </c>
      <c r="O167" s="182" t="s">
        <v>14</v>
      </c>
      <c r="P167" s="182" t="s">
        <v>15</v>
      </c>
      <c r="Q167" s="182" t="s">
        <v>16</v>
      </c>
      <c r="R167" s="183" t="s">
        <v>17</v>
      </c>
      <c r="S167" s="184" t="s">
        <v>23</v>
      </c>
      <c r="T167" s="184" t="s">
        <v>24</v>
      </c>
      <c r="U167" s="185" t="s">
        <v>18</v>
      </c>
      <c r="V167" s="82"/>
    </row>
    <row r="168" spans="1:76" x14ac:dyDescent="0.35">
      <c r="B168" s="222"/>
      <c r="C168" s="205"/>
      <c r="D168" s="205"/>
      <c r="E168" s="205"/>
      <c r="F168" s="205"/>
      <c r="G168" s="205"/>
      <c r="H168" s="219"/>
      <c r="I168" s="205"/>
      <c r="J168" s="205"/>
      <c r="K168" s="205"/>
      <c r="L168" s="205"/>
      <c r="M168" s="219"/>
      <c r="N168" s="205"/>
      <c r="O168" s="205"/>
      <c r="P168" s="205"/>
      <c r="Q168" s="205"/>
      <c r="R168" s="205"/>
      <c r="S168" s="205"/>
      <c r="T168" s="206"/>
      <c r="U168" s="206"/>
    </row>
    <row r="169" spans="1:76" x14ac:dyDescent="0.35">
      <c r="A169" s="187" t="s">
        <v>20</v>
      </c>
      <c r="B169" s="213"/>
      <c r="C169" s="196"/>
      <c r="D169" s="196"/>
      <c r="E169" s="196"/>
      <c r="F169" s="196"/>
      <c r="G169" s="196"/>
      <c r="H169" s="213"/>
      <c r="I169" s="196"/>
      <c r="J169" s="196"/>
      <c r="K169" s="196"/>
      <c r="L169" s="196"/>
      <c r="M169" s="213"/>
      <c r="N169" s="196"/>
      <c r="O169" s="196"/>
      <c r="P169" s="196"/>
      <c r="Q169" s="196"/>
      <c r="R169" s="196"/>
      <c r="S169" s="196"/>
      <c r="T169" s="196"/>
      <c r="U169" s="196"/>
    </row>
    <row r="170" spans="1:76" x14ac:dyDescent="0.35">
      <c r="A170" s="187" t="s">
        <v>21</v>
      </c>
      <c r="B170" s="213"/>
      <c r="C170" s="196"/>
      <c r="D170" s="196"/>
      <c r="E170" s="196"/>
      <c r="F170" s="196"/>
      <c r="G170" s="196"/>
      <c r="H170" s="213"/>
      <c r="I170" s="196"/>
      <c r="J170" s="196"/>
      <c r="K170" s="196"/>
      <c r="L170" s="196"/>
      <c r="M170" s="213"/>
      <c r="N170" s="196"/>
      <c r="O170" s="196"/>
      <c r="P170" s="196"/>
      <c r="Q170" s="196"/>
      <c r="R170" s="196"/>
      <c r="S170" s="196"/>
      <c r="T170" s="196"/>
      <c r="U170" s="196"/>
    </row>
    <row r="171" spans="1:76" s="80" customFormat="1" x14ac:dyDescent="0.35">
      <c r="A171" s="187" t="s">
        <v>26</v>
      </c>
      <c r="B171" s="220"/>
      <c r="C171" s="207"/>
      <c r="D171" s="207"/>
      <c r="E171" s="207"/>
      <c r="F171" s="207"/>
      <c r="G171" s="207"/>
      <c r="H171" s="220"/>
      <c r="I171" s="207"/>
      <c r="J171" s="207"/>
      <c r="K171" s="207"/>
      <c r="L171" s="207"/>
      <c r="M171" s="220"/>
      <c r="N171" s="207"/>
      <c r="O171" s="207"/>
      <c r="P171" s="207"/>
      <c r="Q171" s="207"/>
      <c r="R171" s="207"/>
      <c r="S171" s="207"/>
      <c r="T171" s="207"/>
      <c r="U171" s="207"/>
      <c r="V171" s="146"/>
      <c r="W171" s="148"/>
      <c r="X171" s="147"/>
      <c r="Y171" s="148"/>
      <c r="Z171" s="148"/>
      <c r="AA171" s="148"/>
      <c r="AB171" s="148"/>
      <c r="AC171" s="148"/>
      <c r="AD171" s="148"/>
      <c r="AE171" s="148"/>
      <c r="AF171" s="148"/>
      <c r="AG171" s="148"/>
      <c r="AH171" s="148"/>
      <c r="AI171" s="148"/>
      <c r="AJ171" s="151"/>
      <c r="AK171" s="148"/>
      <c r="AL171" s="148"/>
      <c r="AM171" s="148"/>
      <c r="AN171" s="151"/>
      <c r="AO171" s="148"/>
      <c r="AP171" s="148"/>
      <c r="AQ171" s="148"/>
      <c r="AR171" s="148"/>
      <c r="AS171" s="148"/>
      <c r="AT171" s="148"/>
      <c r="AU171" s="148"/>
      <c r="AV171" s="148"/>
      <c r="AW171" s="148"/>
      <c r="AX171" s="148"/>
      <c r="AY171" s="148"/>
      <c r="AZ171" s="148"/>
      <c r="BA171" s="148"/>
      <c r="BB171" s="148"/>
      <c r="BC171" s="148"/>
      <c r="BD171" s="148"/>
      <c r="BE171" s="148"/>
      <c r="BF171" s="148"/>
      <c r="BG171" s="148"/>
      <c r="BH171" s="148"/>
      <c r="BI171" s="148"/>
      <c r="BJ171" s="148"/>
      <c r="BK171" s="148"/>
      <c r="BL171" s="148"/>
      <c r="BM171" s="148"/>
      <c r="BN171" s="148"/>
      <c r="BO171" s="148"/>
      <c r="BP171" s="148"/>
      <c r="BQ171" s="148"/>
      <c r="BR171" s="148"/>
      <c r="BS171" s="148"/>
      <c r="BT171" s="148"/>
      <c r="BU171" s="148"/>
      <c r="BV171" s="148"/>
      <c r="BW171" s="148"/>
      <c r="BX171" s="148"/>
    </row>
    <row r="172" spans="1:76" ht="15" thickBot="1" x14ac:dyDescent="0.4">
      <c r="A172" s="190" t="s">
        <v>22</v>
      </c>
      <c r="B172" s="213"/>
      <c r="C172" s="196"/>
      <c r="D172" s="196"/>
      <c r="E172" s="196"/>
      <c r="F172" s="196"/>
      <c r="G172" s="196"/>
      <c r="H172" s="213"/>
      <c r="I172" s="196"/>
      <c r="J172" s="196"/>
      <c r="K172" s="196"/>
      <c r="L172" s="196"/>
      <c r="M172" s="213"/>
      <c r="N172" s="196"/>
      <c r="O172" s="196"/>
      <c r="P172" s="196"/>
      <c r="Q172" s="196"/>
      <c r="R172" s="196"/>
      <c r="S172" s="196"/>
      <c r="T172" s="196"/>
      <c r="U172" s="196"/>
    </row>
    <row r="173" spans="1:76" s="78" customFormat="1" ht="15" thickBot="1" x14ac:dyDescent="0.4">
      <c r="A173" s="179"/>
      <c r="B173" s="212"/>
      <c r="C173" s="179"/>
      <c r="D173" s="179"/>
      <c r="E173" s="179"/>
      <c r="F173" s="179"/>
      <c r="G173" s="179"/>
      <c r="H173" s="212"/>
      <c r="I173" s="179"/>
      <c r="J173" s="179"/>
      <c r="K173" s="179"/>
      <c r="L173" s="179"/>
      <c r="M173" s="212"/>
      <c r="N173" s="179"/>
      <c r="O173" s="179"/>
      <c r="P173" s="179"/>
      <c r="Q173" s="179"/>
      <c r="R173" s="179"/>
      <c r="S173" s="179"/>
      <c r="T173" s="179"/>
      <c r="U173" s="179"/>
      <c r="V173" s="84"/>
      <c r="W173" s="148"/>
      <c r="X173" s="147"/>
      <c r="Y173" s="148"/>
      <c r="Z173" s="148"/>
      <c r="AA173" s="148"/>
      <c r="AB173" s="148"/>
      <c r="AC173" s="148"/>
      <c r="AD173" s="148"/>
      <c r="AE173" s="148"/>
      <c r="AF173" s="148"/>
      <c r="AG173" s="148"/>
      <c r="AH173" s="148"/>
      <c r="AI173" s="148"/>
      <c r="AJ173" s="151"/>
      <c r="AK173" s="148"/>
      <c r="AL173" s="148"/>
      <c r="AM173" s="148"/>
      <c r="AN173" s="151"/>
      <c r="AO173" s="148"/>
      <c r="AP173" s="148"/>
      <c r="AQ173" s="148"/>
      <c r="AR173" s="148"/>
      <c r="AS173" s="148"/>
      <c r="AT173" s="148"/>
      <c r="AU173" s="148"/>
      <c r="AV173" s="148"/>
      <c r="AW173" s="148"/>
      <c r="AX173" s="148"/>
      <c r="AY173" s="148"/>
      <c r="AZ173" s="148"/>
      <c r="BA173" s="148"/>
      <c r="BB173" s="148"/>
      <c r="BC173" s="148"/>
      <c r="BD173" s="148"/>
      <c r="BE173" s="148"/>
      <c r="BF173" s="148"/>
      <c r="BG173" s="148"/>
      <c r="BH173" s="148"/>
      <c r="BI173" s="148"/>
      <c r="BJ173" s="148"/>
      <c r="BK173" s="148"/>
      <c r="BL173" s="148"/>
      <c r="BM173" s="148"/>
      <c r="BN173" s="148"/>
      <c r="BO173" s="148"/>
      <c r="BP173" s="148"/>
      <c r="BQ173" s="148"/>
      <c r="BR173" s="148"/>
      <c r="BS173" s="148"/>
      <c r="BT173" s="148"/>
      <c r="BU173" s="148"/>
      <c r="BV173" s="148"/>
      <c r="BW173" s="148"/>
      <c r="BX173" s="148"/>
    </row>
    <row r="174" spans="1:76" s="77" customFormat="1" x14ac:dyDescent="0.35">
      <c r="A174" s="203" t="s">
        <v>56</v>
      </c>
      <c r="B174" s="213"/>
      <c r="C174" s="196"/>
      <c r="D174" s="196"/>
      <c r="E174" s="196"/>
      <c r="F174" s="196"/>
      <c r="G174" s="196"/>
      <c r="H174" s="213"/>
      <c r="I174" s="196"/>
      <c r="J174" s="196"/>
      <c r="K174" s="196"/>
      <c r="L174" s="196"/>
      <c r="M174" s="213"/>
      <c r="N174" s="196"/>
      <c r="O174" s="196"/>
      <c r="P174" s="196"/>
      <c r="Q174" s="196"/>
      <c r="R174" s="196"/>
      <c r="S174" s="196"/>
      <c r="T174" s="196"/>
      <c r="U174" s="196"/>
      <c r="V174" s="85"/>
      <c r="W174" s="148"/>
      <c r="X174" s="147"/>
      <c r="Y174" s="148"/>
      <c r="Z174" s="148"/>
      <c r="AA174" s="148"/>
      <c r="AB174" s="148"/>
      <c r="AC174" s="148"/>
      <c r="AD174" s="148"/>
      <c r="AE174" s="148"/>
      <c r="AF174" s="148"/>
      <c r="AG174" s="148"/>
      <c r="AH174" s="148"/>
      <c r="AI174" s="148"/>
      <c r="AJ174" s="151"/>
      <c r="AK174" s="148"/>
      <c r="AL174" s="148"/>
      <c r="AM174" s="148"/>
      <c r="AN174" s="151"/>
      <c r="AO174" s="148"/>
      <c r="AP174" s="148"/>
      <c r="AQ174" s="148"/>
      <c r="AR174" s="148"/>
      <c r="AS174" s="148"/>
      <c r="AT174" s="148"/>
      <c r="AU174" s="148"/>
      <c r="AV174" s="148"/>
      <c r="AW174" s="148"/>
      <c r="AX174" s="148"/>
      <c r="AY174" s="148"/>
      <c r="AZ174" s="148"/>
      <c r="BA174" s="148"/>
      <c r="BB174" s="148"/>
      <c r="BC174" s="148"/>
      <c r="BD174" s="148"/>
      <c r="BE174" s="148"/>
      <c r="BF174" s="148"/>
      <c r="BG174" s="148"/>
      <c r="BH174" s="148"/>
      <c r="BI174" s="148"/>
      <c r="BJ174" s="148"/>
      <c r="BK174" s="148"/>
      <c r="BL174" s="148"/>
      <c r="BM174" s="148"/>
      <c r="BN174" s="148"/>
      <c r="BO174" s="148"/>
      <c r="BP174" s="148"/>
      <c r="BQ174" s="148"/>
      <c r="BR174" s="148"/>
      <c r="BS174" s="148"/>
      <c r="BT174" s="148"/>
      <c r="BU174" s="148"/>
      <c r="BV174" s="148"/>
      <c r="BW174" s="148"/>
      <c r="BX174" s="148"/>
    </row>
    <row r="175" spans="1:76" s="77" customFormat="1" x14ac:dyDescent="0.35">
      <c r="A175" s="193" t="s">
        <v>63</v>
      </c>
      <c r="B175" s="214"/>
      <c r="C175" s="194"/>
      <c r="D175" s="194"/>
      <c r="E175" s="194"/>
      <c r="F175" s="194"/>
      <c r="G175" s="194"/>
      <c r="H175" s="214"/>
      <c r="I175" s="194"/>
      <c r="J175" s="194"/>
      <c r="K175" s="194"/>
      <c r="L175" s="194"/>
      <c r="M175" s="214"/>
      <c r="N175" s="194"/>
      <c r="O175" s="194"/>
      <c r="P175" s="194"/>
      <c r="Q175" s="194"/>
      <c r="R175" s="194"/>
      <c r="S175" s="194"/>
      <c r="T175" s="194"/>
      <c r="U175" s="194"/>
      <c r="V175" s="86"/>
      <c r="W175" s="148"/>
      <c r="X175" s="147"/>
      <c r="Y175" s="148"/>
      <c r="Z175" s="148"/>
      <c r="AA175" s="148"/>
      <c r="AB175" s="148"/>
      <c r="AC175" s="148"/>
      <c r="AD175" s="148"/>
      <c r="AE175" s="148"/>
      <c r="AF175" s="148"/>
      <c r="AG175" s="148"/>
      <c r="AH175" s="148"/>
      <c r="AI175" s="148"/>
      <c r="AJ175" s="151"/>
      <c r="AK175" s="148"/>
      <c r="AL175" s="148"/>
      <c r="AM175" s="148"/>
      <c r="AN175" s="151"/>
      <c r="AO175" s="148"/>
      <c r="AP175" s="148"/>
      <c r="AQ175" s="148"/>
      <c r="AR175" s="148"/>
      <c r="AS175" s="148"/>
      <c r="AT175" s="148"/>
      <c r="AU175" s="148"/>
      <c r="AV175" s="148"/>
      <c r="AW175" s="148"/>
      <c r="AX175" s="148"/>
      <c r="AY175" s="148"/>
      <c r="AZ175" s="148"/>
      <c r="BA175" s="148"/>
      <c r="BB175" s="148"/>
      <c r="BC175" s="148"/>
      <c r="BD175" s="148"/>
      <c r="BE175" s="148"/>
      <c r="BF175" s="148"/>
      <c r="BG175" s="148"/>
      <c r="BH175" s="148"/>
      <c r="BI175" s="148"/>
      <c r="BJ175" s="148"/>
      <c r="BK175" s="148"/>
      <c r="BL175" s="148"/>
      <c r="BM175" s="148"/>
      <c r="BN175" s="148"/>
      <c r="BO175" s="148"/>
      <c r="BP175" s="148"/>
      <c r="BQ175" s="148"/>
      <c r="BR175" s="148"/>
      <c r="BS175" s="148"/>
      <c r="BT175" s="148"/>
      <c r="BU175" s="148"/>
      <c r="BV175" s="148"/>
      <c r="BW175" s="148"/>
      <c r="BX175" s="148"/>
    </row>
    <row r="176" spans="1:76" s="77" customFormat="1" x14ac:dyDescent="0.35">
      <c r="A176" s="193" t="s">
        <v>64</v>
      </c>
      <c r="B176" s="215"/>
      <c r="C176" s="195"/>
      <c r="D176" s="195"/>
      <c r="E176" s="195"/>
      <c r="F176" s="195"/>
      <c r="G176" s="195"/>
      <c r="H176" s="215"/>
      <c r="I176" s="195"/>
      <c r="J176" s="195"/>
      <c r="K176" s="195"/>
      <c r="L176" s="195"/>
      <c r="M176" s="215"/>
      <c r="N176" s="195"/>
      <c r="O176" s="195"/>
      <c r="P176" s="195"/>
      <c r="Q176" s="195"/>
      <c r="R176" s="195"/>
      <c r="S176" s="195"/>
      <c r="T176" s="195"/>
      <c r="U176" s="195"/>
      <c r="V176" s="85"/>
      <c r="W176" s="148"/>
      <c r="X176" s="147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51"/>
      <c r="AK176" s="148"/>
      <c r="AL176" s="148"/>
      <c r="AM176" s="148"/>
      <c r="AN176" s="151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  <c r="BI176" s="148"/>
      <c r="BJ176" s="148"/>
      <c r="BK176" s="148"/>
      <c r="BL176" s="148"/>
      <c r="BM176" s="148"/>
      <c r="BN176" s="148"/>
      <c r="BO176" s="148"/>
      <c r="BP176" s="148"/>
      <c r="BQ176" s="148"/>
      <c r="BR176" s="148"/>
      <c r="BS176" s="148"/>
      <c r="BT176" s="148"/>
      <c r="BU176" s="148"/>
      <c r="BV176" s="148"/>
      <c r="BW176" s="148"/>
      <c r="BX176" s="148"/>
    </row>
    <row r="177" spans="1:76" s="79" customFormat="1" ht="15" thickBot="1" x14ac:dyDescent="0.4">
      <c r="A177" s="193"/>
      <c r="B177" s="213"/>
      <c r="C177" s="196"/>
      <c r="D177" s="194"/>
      <c r="E177" s="194"/>
      <c r="F177" s="194"/>
      <c r="G177" s="194"/>
      <c r="H177" s="214"/>
      <c r="I177" s="194"/>
      <c r="J177" s="194"/>
      <c r="K177" s="194"/>
      <c r="L177" s="194"/>
      <c r="M177" s="214"/>
      <c r="N177" s="194"/>
      <c r="O177" s="194"/>
      <c r="P177" s="194"/>
      <c r="Q177" s="194"/>
      <c r="R177" s="194"/>
      <c r="S177" s="194"/>
      <c r="T177" s="194"/>
      <c r="U177" s="194"/>
      <c r="V177" s="87"/>
      <c r="W177" s="148"/>
      <c r="X177" s="147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51"/>
      <c r="AK177" s="148"/>
      <c r="AL177" s="148"/>
      <c r="AM177" s="148"/>
      <c r="AN177" s="151"/>
      <c r="AO177" s="148"/>
      <c r="AP177" s="148"/>
      <c r="AQ177" s="148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148"/>
      <c r="BD177" s="148"/>
      <c r="BE177" s="148"/>
      <c r="BF177" s="148"/>
      <c r="BG177" s="148"/>
      <c r="BH177" s="148"/>
      <c r="BI177" s="148"/>
      <c r="BJ177" s="148"/>
      <c r="BK177" s="148"/>
      <c r="BL177" s="148"/>
      <c r="BM177" s="148"/>
      <c r="BN177" s="148"/>
      <c r="BO177" s="148"/>
      <c r="BP177" s="148"/>
      <c r="BQ177" s="148"/>
      <c r="BR177" s="148"/>
      <c r="BS177" s="148"/>
      <c r="BT177" s="148"/>
      <c r="BU177" s="148"/>
      <c r="BV177" s="148"/>
      <c r="BW177" s="148"/>
      <c r="BX177" s="148"/>
    </row>
    <row r="178" spans="1:76" ht="15" thickBot="1" x14ac:dyDescent="0.4">
      <c r="A178" s="197"/>
      <c r="B178" s="216"/>
      <c r="C178" s="198"/>
      <c r="D178" s="198"/>
      <c r="E178" s="198"/>
      <c r="F178" s="198"/>
      <c r="G178" s="198"/>
      <c r="H178" s="216"/>
      <c r="I178" s="198"/>
      <c r="J178" s="198"/>
      <c r="K178" s="198"/>
      <c r="L178" s="198"/>
      <c r="M178" s="216"/>
      <c r="N178" s="198"/>
      <c r="O178" s="198"/>
      <c r="P178" s="198"/>
      <c r="Q178" s="198"/>
      <c r="R178" s="198"/>
      <c r="S178" s="198"/>
      <c r="T178" s="198"/>
      <c r="U178" s="198"/>
    </row>
  </sheetData>
  <sheetProtection password="C9FD" sheet="1" objects="1" scenarios="1"/>
  <mergeCells count="6">
    <mergeCell ref="AG14:AI14"/>
    <mergeCell ref="AK14:AM14"/>
    <mergeCell ref="AO14:AR14"/>
    <mergeCell ref="X25:AI26"/>
    <mergeCell ref="AK25:AM26"/>
    <mergeCell ref="AO25:AQ26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"/>
  <sheetViews>
    <sheetView workbookViewId="0">
      <selection activeCell="J9" sqref="J9"/>
    </sheetView>
  </sheetViews>
  <sheetFormatPr defaultRowHeight="14.5" x14ac:dyDescent="0.35"/>
  <sheetData>
    <row r="1" spans="1:4" ht="15.5" x14ac:dyDescent="0.35">
      <c r="A1" s="245" t="s">
        <v>120</v>
      </c>
      <c r="B1" s="246"/>
      <c r="C1" s="246"/>
      <c r="D1" s="247"/>
    </row>
    <row r="2" spans="1:4" ht="15" thickBot="1" x14ac:dyDescent="0.4">
      <c r="A2" s="248" t="s">
        <v>36</v>
      </c>
      <c r="B2" s="249"/>
      <c r="C2" s="249"/>
      <c r="D2" s="25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O27"/>
  <sheetViews>
    <sheetView tabSelected="1" topLeftCell="A38" zoomScale="85" zoomScaleNormal="85" workbookViewId="0">
      <selection activeCell="N16" sqref="N16"/>
    </sheetView>
  </sheetViews>
  <sheetFormatPr defaultRowHeight="14.5" x14ac:dyDescent="0.35"/>
  <cols>
    <col min="1" max="1" width="86.26953125" customWidth="1"/>
    <col min="2" max="3" width="19" bestFit="1" customWidth="1"/>
    <col min="4" max="15" width="20" bestFit="1" customWidth="1"/>
  </cols>
  <sheetData>
    <row r="1" spans="1:15" x14ac:dyDescent="0.35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x14ac:dyDescent="0.35">
      <c r="A2" s="227" t="s">
        <v>0</v>
      </c>
      <c r="B2" s="219" t="s">
        <v>7</v>
      </c>
      <c r="C2" s="228" t="s">
        <v>8</v>
      </c>
      <c r="D2" s="228" t="s">
        <v>9</v>
      </c>
      <c r="E2" s="228" t="s">
        <v>10</v>
      </c>
      <c r="F2" s="228" t="s">
        <v>11</v>
      </c>
      <c r="G2" s="219" t="s">
        <v>12</v>
      </c>
      <c r="H2" s="228" t="s">
        <v>13</v>
      </c>
      <c r="I2" s="228" t="s">
        <v>14</v>
      </c>
      <c r="J2" s="228" t="s">
        <v>15</v>
      </c>
      <c r="K2" s="228" t="s">
        <v>16</v>
      </c>
      <c r="L2" s="228" t="s">
        <v>17</v>
      </c>
      <c r="M2" s="228" t="s">
        <v>23</v>
      </c>
      <c r="N2" s="228" t="s">
        <v>24</v>
      </c>
      <c r="O2" s="229"/>
    </row>
    <row r="3" spans="1:15" x14ac:dyDescent="0.35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</row>
    <row r="4" spans="1:15" x14ac:dyDescent="0.35">
      <c r="A4" s="153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</row>
    <row r="5" spans="1:15" s="224" customFormat="1" hidden="1" x14ac:dyDescent="0.35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1"/>
    </row>
    <row r="6" spans="1:15" s="226" customFormat="1" x14ac:dyDescent="0.35">
      <c r="A6" s="231"/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</row>
    <row r="7" spans="1:15" x14ac:dyDescent="0.35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</row>
    <row r="8" spans="1:15" s="300" customFormat="1" x14ac:dyDescent="0.35">
      <c r="A8" s="299" t="s">
        <v>114</v>
      </c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</row>
    <row r="9" spans="1:15" ht="36.75" customHeight="1" x14ac:dyDescent="0.35">
      <c r="A9" s="296" t="s">
        <v>133</v>
      </c>
      <c r="B9" s="234">
        <f>'scenario 1'!B164</f>
        <v>82209.425352853184</v>
      </c>
      <c r="C9" s="234">
        <f>'scenario 1'!C164</f>
        <v>82209.425352853184</v>
      </c>
      <c r="D9" s="234">
        <f>'scenario 1'!D164</f>
        <v>82209.425352853184</v>
      </c>
      <c r="E9" s="234">
        <f>'scenario 1'!E164</f>
        <v>82209.425352853184</v>
      </c>
      <c r="F9" s="234">
        <f>'scenario 1'!F164</f>
        <v>82209.425352853184</v>
      </c>
      <c r="G9" s="234">
        <f>'scenario 1'!G164</f>
        <v>81229.969417786109</v>
      </c>
      <c r="H9" s="234">
        <f>'scenario 1'!H164</f>
        <v>81229.969417786109</v>
      </c>
      <c r="I9" s="234">
        <f>'scenario 1'!I164</f>
        <v>81229.969417786109</v>
      </c>
      <c r="J9" s="234">
        <f>'scenario 1'!J164</f>
        <v>81229.969417786109</v>
      </c>
      <c r="K9" s="234">
        <f>'scenario 1'!K164</f>
        <v>81229.969417786109</v>
      </c>
      <c r="L9" s="234">
        <f>'scenario 1'!L164</f>
        <v>81229.969417786109</v>
      </c>
      <c r="M9" s="234">
        <f>'scenario 1'!M164</f>
        <v>81229.969417786109</v>
      </c>
      <c r="N9" s="234">
        <f>'scenario 1'!N164</f>
        <v>81229.969417786109</v>
      </c>
      <c r="O9" s="234"/>
    </row>
    <row r="10" spans="1:15" s="225" customFormat="1" ht="44.25" customHeight="1" x14ac:dyDescent="0.35">
      <c r="A10" s="232" t="s">
        <v>131</v>
      </c>
      <c r="B10" s="232">
        <f>'scenario 1'!B165</f>
        <v>16441885.070570637</v>
      </c>
      <c r="C10" s="232">
        <f>'scenario 1'!C165</f>
        <v>16441885.070570637</v>
      </c>
      <c r="D10" s="232">
        <f>'scenario 1'!D165</f>
        <v>16441885.070570637</v>
      </c>
      <c r="E10" s="232">
        <f>'scenario 1'!E165</f>
        <v>16441885.070570637</v>
      </c>
      <c r="F10" s="232">
        <f>'scenario 1'!F165</f>
        <v>16441885.070570637</v>
      </c>
      <c r="G10" s="232">
        <f>'scenario 1'!G165</f>
        <v>16245993.883557223</v>
      </c>
      <c r="H10" s="232">
        <f>'scenario 1'!H165</f>
        <v>16245993.883557223</v>
      </c>
      <c r="I10" s="232">
        <f>'scenario 1'!I165</f>
        <v>16245993.883557223</v>
      </c>
      <c r="J10" s="232">
        <f>'scenario 1'!J165</f>
        <v>16245993.883557223</v>
      </c>
      <c r="K10" s="232">
        <f>'scenario 1'!K165</f>
        <v>16245993.883557223</v>
      </c>
      <c r="L10" s="232">
        <f>'scenario 1'!L165</f>
        <v>16245993.883557223</v>
      </c>
      <c r="M10" s="232">
        <f>'scenario 1'!M165</f>
        <v>16245993.883557223</v>
      </c>
      <c r="N10" s="232">
        <f>'scenario 1'!N165</f>
        <v>16245993.883557223</v>
      </c>
      <c r="O10" s="233"/>
    </row>
    <row r="11" spans="1:15" s="239" customFormat="1" x14ac:dyDescent="0.35">
      <c r="A11" s="301" t="s">
        <v>129</v>
      </c>
      <c r="B11" s="233">
        <f>B10</f>
        <v>16441885.070570637</v>
      </c>
      <c r="C11" s="237">
        <f t="shared" ref="C11:N11" si="0">C10+B11</f>
        <v>32883770.141141273</v>
      </c>
      <c r="D11" s="237">
        <f>D10+C11</f>
        <v>49325655.211711913</v>
      </c>
      <c r="E11" s="237">
        <f t="shared" si="0"/>
        <v>65767540.282282546</v>
      </c>
      <c r="F11" s="237">
        <f t="shared" si="0"/>
        <v>82209425.352853179</v>
      </c>
      <c r="G11" s="237">
        <f t="shared" si="0"/>
        <v>98455419.236410409</v>
      </c>
      <c r="H11" s="237">
        <f t="shared" si="0"/>
        <v>114701413.11996764</v>
      </c>
      <c r="I11" s="237">
        <f t="shared" si="0"/>
        <v>130947407.00352487</v>
      </c>
      <c r="J11" s="237">
        <f t="shared" si="0"/>
        <v>147193400.8870821</v>
      </c>
      <c r="K11" s="237">
        <f t="shared" si="0"/>
        <v>163439394.77063933</v>
      </c>
      <c r="L11" s="237">
        <f t="shared" si="0"/>
        <v>179685388.65419656</v>
      </c>
      <c r="M11" s="237">
        <f t="shared" si="0"/>
        <v>195931382.53775379</v>
      </c>
      <c r="N11" s="237">
        <f t="shared" si="0"/>
        <v>212177376.42131102</v>
      </c>
      <c r="O11" s="237"/>
    </row>
    <row r="12" spans="1:15" x14ac:dyDescent="0.35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</row>
    <row r="13" spans="1:15" s="300" customFormat="1" x14ac:dyDescent="0.35">
      <c r="A13" s="299" t="s">
        <v>115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</row>
    <row r="14" spans="1:15" ht="14.25" customHeight="1" x14ac:dyDescent="0.35">
      <c r="A14" s="296" t="s">
        <v>133</v>
      </c>
      <c r="B14" s="234">
        <f>'scenario 2.1 '!B164</f>
        <v>215973.38083043648</v>
      </c>
      <c r="C14" s="234">
        <f>'scenario 2.1 '!C164</f>
        <v>215973.38083043648</v>
      </c>
      <c r="D14" s="234">
        <f>'scenario 2.1 '!D164</f>
        <v>215973.38083043648</v>
      </c>
      <c r="E14" s="234">
        <f>'scenario 2.1 '!E164</f>
        <v>215973.38083043648</v>
      </c>
      <c r="F14" s="234">
        <f>'scenario 2.1 '!F164</f>
        <v>215973.38083043648</v>
      </c>
      <c r="G14" s="234">
        <f>'scenario 2.1 '!G164</f>
        <v>177540.01736164605</v>
      </c>
      <c r="H14" s="234">
        <f>'scenario 2.1 '!H164</f>
        <v>177540.01736164605</v>
      </c>
      <c r="I14" s="234">
        <f>'scenario 2.1 '!I164</f>
        <v>177540.01736164605</v>
      </c>
      <c r="J14" s="234">
        <f>'scenario 2.1 '!J164</f>
        <v>177540.01736164605</v>
      </c>
      <c r="K14" s="234">
        <f>'scenario 2.1 '!K164</f>
        <v>177540.01736164605</v>
      </c>
      <c r="L14" s="234">
        <f>'scenario 2.1 '!L164</f>
        <v>177540.01736164605</v>
      </c>
      <c r="M14" s="234">
        <f>'scenario 2.1 '!M164</f>
        <v>177540.01736164605</v>
      </c>
      <c r="N14" s="234">
        <f>'scenario 2.1 '!N164</f>
        <v>177540.01736164605</v>
      </c>
      <c r="O14" s="234"/>
    </row>
    <row r="15" spans="1:15" s="225" customFormat="1" ht="19.5" customHeight="1" x14ac:dyDescent="0.35">
      <c r="A15" s="232" t="s">
        <v>131</v>
      </c>
      <c r="B15" s="232">
        <f>'scenario 2.1 '!B165</f>
        <v>43194676.1660873</v>
      </c>
      <c r="C15" s="232">
        <f>'scenario 2.1 '!C165</f>
        <v>43194676.1660873</v>
      </c>
      <c r="D15" s="232">
        <f>'scenario 2.1 '!D165</f>
        <v>43194676.1660873</v>
      </c>
      <c r="E15" s="232">
        <f>'scenario 2.1 '!E165</f>
        <v>43194676.1660873</v>
      </c>
      <c r="F15" s="232">
        <f>'scenario 2.1 '!F165</f>
        <v>43194676.1660873</v>
      </c>
      <c r="G15" s="232">
        <f>'scenario 2.1 '!G165</f>
        <v>35508003.472329214</v>
      </c>
      <c r="H15" s="232">
        <f>'scenario 2.1 '!H165</f>
        <v>35508003.472329214</v>
      </c>
      <c r="I15" s="232">
        <f>'scenario 2.1 '!I165</f>
        <v>35508003.472329214</v>
      </c>
      <c r="J15" s="232">
        <f>'scenario 2.1 '!J165</f>
        <v>35508003.472329214</v>
      </c>
      <c r="K15" s="232">
        <f>'scenario 2.1 '!K165</f>
        <v>35508003.472329214</v>
      </c>
      <c r="L15" s="232">
        <f>'scenario 2.1 '!L165</f>
        <v>35508003.472329214</v>
      </c>
      <c r="M15" s="232">
        <f>'scenario 2.1 '!M165</f>
        <v>35508003.472329214</v>
      </c>
      <c r="N15" s="232">
        <f>'scenario 2.1 '!N165</f>
        <v>35508003.472329214</v>
      </c>
      <c r="O15" s="233"/>
    </row>
    <row r="16" spans="1:15" s="239" customFormat="1" ht="42" customHeight="1" x14ac:dyDescent="0.35">
      <c r="A16" s="302" t="s">
        <v>130</v>
      </c>
      <c r="B16" s="233">
        <f>B15</f>
        <v>43194676.1660873</v>
      </c>
      <c r="C16" s="237">
        <f t="shared" ref="C16" si="1">C15+B16</f>
        <v>86389352.332174599</v>
      </c>
      <c r="D16" s="237">
        <f t="shared" ref="D16" si="2">D15+C16</f>
        <v>129584028.4982619</v>
      </c>
      <c r="E16" s="237">
        <f t="shared" ref="E16" si="3">E15+D16</f>
        <v>172778704.6643492</v>
      </c>
      <c r="F16" s="237">
        <f t="shared" ref="F16" si="4">F15+E16</f>
        <v>215973380.8304365</v>
      </c>
      <c r="G16" s="237">
        <f t="shared" ref="G16" si="5">G15+F16</f>
        <v>251481384.30276573</v>
      </c>
      <c r="H16" s="237">
        <f t="shared" ref="H16" si="6">H15+G16</f>
        <v>286989387.77509493</v>
      </c>
      <c r="I16" s="237">
        <f t="shared" ref="I16" si="7">I15+H16</f>
        <v>322497391.24742413</v>
      </c>
      <c r="J16" s="237">
        <f t="shared" ref="J16" si="8">J15+I16</f>
        <v>358005394.71975332</v>
      </c>
      <c r="K16" s="237">
        <f t="shared" ref="K16" si="9">K15+J16</f>
        <v>393513398.19208252</v>
      </c>
      <c r="L16" s="237">
        <f t="shared" ref="L16" si="10">L15+K16</f>
        <v>429021401.66441172</v>
      </c>
      <c r="M16" s="237">
        <f t="shared" ref="M16" si="11">M15+L16</f>
        <v>464529405.13674092</v>
      </c>
      <c r="N16" s="237">
        <f t="shared" ref="N16" si="12">N15+M16</f>
        <v>500037408.60907012</v>
      </c>
      <c r="O16" s="237"/>
    </row>
    <row r="17" spans="1:15" x14ac:dyDescent="0.35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</row>
    <row r="18" spans="1:15" s="300" customFormat="1" x14ac:dyDescent="0.35">
      <c r="A18" s="299" t="s">
        <v>116</v>
      </c>
      <c r="B18" s="299"/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</row>
    <row r="19" spans="1:15" x14ac:dyDescent="0.35">
      <c r="A19" s="296" t="s">
        <v>133</v>
      </c>
      <c r="B19" s="234"/>
      <c r="C19" s="234"/>
      <c r="D19" s="234"/>
      <c r="E19" s="234">
        <f>'scenario 3'!B164</f>
        <v>82209.425352853184</v>
      </c>
      <c r="F19" s="234">
        <f>'scenario 3'!C164</f>
        <v>82209.425352853184</v>
      </c>
      <c r="G19" s="234">
        <f>'scenario 3'!D164</f>
        <v>81229.969417786109</v>
      </c>
      <c r="H19" s="234">
        <f>'scenario 3'!E164</f>
        <v>81229.969417786109</v>
      </c>
      <c r="I19" s="234">
        <f>'scenario 3'!F164</f>
        <v>81229.969417786109</v>
      </c>
      <c r="J19" s="234">
        <f>'scenario 3'!G164</f>
        <v>81229.969417786109</v>
      </c>
      <c r="K19" s="234">
        <f>'scenario 3'!H164</f>
        <v>81229.969417786109</v>
      </c>
      <c r="L19" s="234">
        <f>'scenario 3'!I164</f>
        <v>81229.969417786109</v>
      </c>
      <c r="M19" s="234">
        <f>'scenario 3'!J164</f>
        <v>81229.969417786109</v>
      </c>
      <c r="N19" s="234">
        <f>'scenario 3'!K164</f>
        <v>81229.969417786109</v>
      </c>
      <c r="O19" s="234"/>
    </row>
    <row r="20" spans="1:15" s="225" customFormat="1" ht="27" customHeight="1" x14ac:dyDescent="0.35">
      <c r="A20" s="232" t="s">
        <v>131</v>
      </c>
      <c r="B20" s="232"/>
      <c r="C20" s="232"/>
      <c r="D20" s="232"/>
      <c r="E20" s="232">
        <f>'scenario 3'!B165</f>
        <v>19237005.532567646</v>
      </c>
      <c r="F20" s="232">
        <v>19294922.505354837</v>
      </c>
      <c r="G20" s="232">
        <v>19065309.934473481</v>
      </c>
      <c r="H20" s="232">
        <v>19065309.934473481</v>
      </c>
      <c r="I20" s="232">
        <v>19065309.934473481</v>
      </c>
      <c r="J20" s="232">
        <v>19065309.934473481</v>
      </c>
      <c r="K20" s="232">
        <v>19065309.934473481</v>
      </c>
      <c r="L20" s="232">
        <v>19065309.934473481</v>
      </c>
      <c r="M20" s="232">
        <v>19065309.934473481</v>
      </c>
      <c r="N20" s="232">
        <v>19065309.934473481</v>
      </c>
      <c r="O20" s="233"/>
    </row>
    <row r="21" spans="1:15" s="239" customFormat="1" ht="43.5" x14ac:dyDescent="0.35">
      <c r="A21" s="296" t="s">
        <v>127</v>
      </c>
      <c r="B21" s="237"/>
      <c r="C21" s="237"/>
      <c r="D21" s="237"/>
      <c r="E21" s="233">
        <f>E20</f>
        <v>19237005.532567646</v>
      </c>
      <c r="F21" s="237">
        <f t="shared" ref="F21" si="13">F20+E21</f>
        <v>38531928.037922487</v>
      </c>
      <c r="G21" s="237">
        <f t="shared" ref="G21" si="14">G20+F21</f>
        <v>57597237.972395971</v>
      </c>
      <c r="H21" s="237">
        <f t="shared" ref="H21" si="15">H20+G21</f>
        <v>76662547.906869456</v>
      </c>
      <c r="I21" s="237">
        <f t="shared" ref="I21" si="16">I20+H21</f>
        <v>95727857.841342941</v>
      </c>
      <c r="J21" s="237">
        <f t="shared" ref="J21" si="17">J20+I21</f>
        <v>114793167.77581643</v>
      </c>
      <c r="K21" s="237">
        <f t="shared" ref="K21" si="18">K20+J21</f>
        <v>133858477.71028991</v>
      </c>
      <c r="L21" s="237">
        <f t="shared" ref="L21" si="19">L20+K21</f>
        <v>152923787.64476338</v>
      </c>
      <c r="M21" s="237">
        <f t="shared" ref="M21" si="20">M20+L21</f>
        <v>171989097.57923687</v>
      </c>
      <c r="N21" s="237">
        <f t="shared" ref="N21" si="21">N20+M21</f>
        <v>191054407.51371035</v>
      </c>
      <c r="O21" s="237"/>
    </row>
    <row r="22" spans="1:15" ht="28.5" customHeight="1" x14ac:dyDescent="0.35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</row>
    <row r="23" spans="1:15" s="300" customFormat="1" ht="19.5" customHeight="1" x14ac:dyDescent="0.35">
      <c r="A23" s="299" t="s">
        <v>117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</row>
    <row r="24" spans="1:15" x14ac:dyDescent="0.35">
      <c r="A24" s="296" t="s">
        <v>133</v>
      </c>
      <c r="B24" s="234"/>
      <c r="C24" s="234"/>
      <c r="D24" s="234"/>
      <c r="E24" s="234">
        <f>'scenario 4'!B164</f>
        <v>215973.38083043648</v>
      </c>
      <c r="F24" s="234">
        <f>'scenario 4'!C164</f>
        <v>215973.38083043648</v>
      </c>
      <c r="G24" s="234">
        <f>'scenario 4'!D164</f>
        <v>177540.01736164605</v>
      </c>
      <c r="H24" s="234">
        <f>'scenario 4'!E164</f>
        <v>177540.01736164605</v>
      </c>
      <c r="I24" s="234">
        <f>'scenario 4'!F164</f>
        <v>177540.01736164605</v>
      </c>
      <c r="J24" s="234">
        <f>'scenario 4'!G164</f>
        <v>177540.01736164605</v>
      </c>
      <c r="K24" s="234">
        <f>'scenario 4'!H164</f>
        <v>177540.01736164605</v>
      </c>
      <c r="L24" s="234">
        <f>'scenario 4'!I164</f>
        <v>177540.01736164605</v>
      </c>
      <c r="M24" s="234">
        <f>'scenario 4'!J164</f>
        <v>177540.01736164605</v>
      </c>
      <c r="N24" s="234">
        <f>'scenario 4'!K164</f>
        <v>177540.01736164605</v>
      </c>
      <c r="O24" s="234"/>
    </row>
    <row r="25" spans="1:15" s="225" customFormat="1" ht="28.5" customHeight="1" x14ac:dyDescent="0.35">
      <c r="A25" s="232" t="s">
        <v>131</v>
      </c>
      <c r="B25" s="232"/>
      <c r="C25" s="232"/>
      <c r="D25" s="232"/>
      <c r="E25" s="232">
        <f>'scenario 4'!B165</f>
        <v>50537771.114322133</v>
      </c>
      <c r="F25" s="232">
        <v>50654539.847004838</v>
      </c>
      <c r="G25" s="232">
        <v>41644234.420461483</v>
      </c>
      <c r="H25" s="232">
        <v>41644234.420461483</v>
      </c>
      <c r="I25" s="232">
        <v>41644234.420461483</v>
      </c>
      <c r="J25" s="232">
        <v>41644234.420461483</v>
      </c>
      <c r="K25" s="232">
        <v>41644234.420461483</v>
      </c>
      <c r="L25" s="232">
        <v>41644234.420461483</v>
      </c>
      <c r="M25" s="232">
        <v>41644234.420461483</v>
      </c>
      <c r="N25" s="232">
        <v>41644234.420461483</v>
      </c>
      <c r="O25" s="233"/>
    </row>
    <row r="26" spans="1:15" s="235" customFormat="1" ht="34.5" customHeight="1" x14ac:dyDescent="0.35">
      <c r="A26" s="298" t="s">
        <v>128</v>
      </c>
      <c r="B26" s="237"/>
      <c r="C26" s="237"/>
      <c r="D26" s="237"/>
      <c r="E26" s="232">
        <f>E25</f>
        <v>50537771.114322133</v>
      </c>
      <c r="F26" s="237">
        <f t="shared" ref="F26" si="22">F25+E26</f>
        <v>101192310.96132697</v>
      </c>
      <c r="G26" s="237">
        <f t="shared" ref="G26" si="23">G25+F26</f>
        <v>142836545.38178846</v>
      </c>
      <c r="H26" s="237">
        <f t="shared" ref="H26" si="24">H25+G26</f>
        <v>184480779.80224994</v>
      </c>
      <c r="I26" s="237">
        <f t="shared" ref="I26" si="25">I25+H26</f>
        <v>226125014.22271141</v>
      </c>
      <c r="J26" s="237">
        <f t="shared" ref="J26" si="26">J25+I26</f>
        <v>267769248.64317289</v>
      </c>
      <c r="K26" s="237">
        <f t="shared" ref="K26" si="27">K25+J26</f>
        <v>309413483.0636344</v>
      </c>
      <c r="L26" s="237">
        <f t="shared" ref="L26" si="28">L25+K26</f>
        <v>351057717.48409587</v>
      </c>
      <c r="M26" s="237">
        <f t="shared" ref="M26" si="29">M25+L26</f>
        <v>392701951.90455735</v>
      </c>
      <c r="N26" s="237">
        <f t="shared" ref="N26" si="30">N25+M26</f>
        <v>434346186.32501882</v>
      </c>
      <c r="O26" s="236"/>
    </row>
    <row r="27" spans="1:15" x14ac:dyDescent="0.35">
      <c r="A27" s="153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8"/>
  <sheetViews>
    <sheetView topLeftCell="J32" zoomScale="115" zoomScaleNormal="115" workbookViewId="0">
      <selection activeCell="T42" sqref="T42"/>
    </sheetView>
  </sheetViews>
  <sheetFormatPr defaultColWidth="9.1796875" defaultRowHeight="12.5" x14ac:dyDescent="0.25"/>
  <cols>
    <col min="1" max="2" width="10.1796875" style="88" bestFit="1" customWidth="1"/>
    <col min="3" max="3" width="12" style="88" bestFit="1" customWidth="1"/>
    <col min="4" max="4" width="9.1796875" style="88"/>
    <col min="5" max="5" width="4" style="94" customWidth="1"/>
    <col min="6" max="6" width="26.81640625" style="88" bestFit="1" customWidth="1"/>
    <col min="7" max="7" width="23.7265625" style="88" customWidth="1"/>
    <col min="8" max="8" width="23.54296875" style="88" customWidth="1"/>
    <col min="9" max="9" width="42" style="88" customWidth="1"/>
    <col min="10" max="10" width="7.1796875" style="93" customWidth="1"/>
    <col min="11" max="11" width="31.81640625" style="88" hidden="1" customWidth="1"/>
    <col min="12" max="12" width="32.453125" style="88" hidden="1" customWidth="1"/>
    <col min="13" max="13" width="36" style="88" hidden="1" customWidth="1"/>
    <col min="14" max="14" width="4.54296875" style="93" hidden="1" customWidth="1"/>
    <col min="15" max="15" width="25.26953125" style="90" customWidth="1"/>
    <col min="16" max="16" width="26.1796875" style="91" customWidth="1"/>
    <col min="17" max="17" width="24.54296875" style="89" bestFit="1" customWidth="1"/>
    <col min="18" max="18" width="3.54296875" style="92" customWidth="1"/>
    <col min="19" max="19" width="26" style="90" customWidth="1"/>
    <col min="20" max="20" width="27" style="91" customWidth="1"/>
    <col min="21" max="21" width="22" style="89" customWidth="1"/>
    <col min="22" max="22" width="5.26953125" style="92" customWidth="1"/>
    <col min="23" max="23" width="27.1796875" style="90" customWidth="1"/>
    <col min="24" max="24" width="29.7265625" style="91" customWidth="1"/>
    <col min="25" max="25" width="22.1796875" style="89" customWidth="1"/>
    <col min="26" max="16384" width="9.1796875" style="88"/>
  </cols>
  <sheetData>
    <row r="1" spans="1:25" ht="13" x14ac:dyDescent="0.3">
      <c r="F1" s="142"/>
      <c r="G1" s="324" t="s">
        <v>58</v>
      </c>
      <c r="H1" s="325"/>
    </row>
    <row r="2" spans="1:25" x14ac:dyDescent="0.25">
      <c r="F2" s="137"/>
      <c r="G2" s="141" t="s">
        <v>57</v>
      </c>
      <c r="H2" s="140" t="s">
        <v>61</v>
      </c>
      <c r="K2" s="339" t="s">
        <v>105</v>
      </c>
      <c r="L2" s="339"/>
      <c r="M2" s="339"/>
      <c r="O2" s="333" t="s">
        <v>58</v>
      </c>
      <c r="P2" s="334"/>
      <c r="Q2" s="334"/>
      <c r="S2" s="333" t="s">
        <v>59</v>
      </c>
      <c r="T2" s="334"/>
      <c r="U2" s="334"/>
      <c r="W2" s="333" t="s">
        <v>60</v>
      </c>
      <c r="X2" s="334"/>
      <c r="Y2" s="334"/>
    </row>
    <row r="3" spans="1:25" x14ac:dyDescent="0.25">
      <c r="B3" s="338" t="s">
        <v>104</v>
      </c>
      <c r="C3" s="338"/>
      <c r="D3" s="338"/>
      <c r="F3" s="137" t="s">
        <v>103</v>
      </c>
      <c r="G3" s="139">
        <v>0.216</v>
      </c>
      <c r="H3" s="138">
        <v>0.51900000000000002</v>
      </c>
      <c r="K3" s="339"/>
      <c r="L3" s="339"/>
      <c r="M3" s="339"/>
      <c r="O3" s="334"/>
      <c r="P3" s="334"/>
      <c r="Q3" s="334"/>
      <c r="S3" s="334"/>
      <c r="T3" s="334"/>
      <c r="U3" s="334"/>
      <c r="W3" s="334"/>
      <c r="X3" s="334"/>
      <c r="Y3" s="334"/>
    </row>
    <row r="4" spans="1:25" x14ac:dyDescent="0.25">
      <c r="B4" s="338"/>
      <c r="C4" s="338"/>
      <c r="D4" s="338"/>
      <c r="F4" s="137" t="s">
        <v>102</v>
      </c>
      <c r="G4" s="139">
        <v>0.21</v>
      </c>
      <c r="H4" s="138">
        <v>0.13600000000000001</v>
      </c>
      <c r="O4" s="334"/>
      <c r="P4" s="334"/>
      <c r="Q4" s="334"/>
      <c r="S4" s="334"/>
      <c r="T4" s="334"/>
      <c r="U4" s="334"/>
      <c r="W4" s="334"/>
      <c r="X4" s="334"/>
      <c r="Y4" s="334"/>
    </row>
    <row r="5" spans="1:25" ht="13" x14ac:dyDescent="0.25">
      <c r="B5" s="338"/>
      <c r="C5" s="338"/>
      <c r="D5" s="338"/>
      <c r="F5" s="137"/>
      <c r="G5" s="326" t="s">
        <v>59</v>
      </c>
      <c r="H5" s="327"/>
      <c r="O5" s="99"/>
      <c r="P5" s="99"/>
      <c r="Q5" s="99"/>
      <c r="S5" s="99"/>
      <c r="T5" s="99"/>
      <c r="U5" s="99"/>
      <c r="W5" s="99"/>
      <c r="X5" s="99"/>
      <c r="Y5" s="99"/>
    </row>
    <row r="6" spans="1:25" x14ac:dyDescent="0.25">
      <c r="B6" s="338"/>
      <c r="C6" s="338"/>
      <c r="D6" s="338"/>
      <c r="F6" s="137"/>
      <c r="G6" s="139">
        <v>0.21</v>
      </c>
      <c r="H6" s="138">
        <v>0.125</v>
      </c>
      <c r="O6" s="99"/>
      <c r="P6" s="99"/>
      <c r="Q6" s="99"/>
      <c r="S6" s="99"/>
      <c r="T6" s="99"/>
      <c r="U6" s="99"/>
      <c r="W6" s="99"/>
      <c r="X6" s="99"/>
      <c r="Y6" s="99"/>
    </row>
    <row r="7" spans="1:25" ht="13" x14ac:dyDescent="0.3">
      <c r="B7" s="338"/>
      <c r="C7" s="338"/>
      <c r="D7" s="338"/>
      <c r="F7" s="137"/>
      <c r="G7" s="328" t="s">
        <v>60</v>
      </c>
      <c r="H7" s="329"/>
      <c r="O7" s="99"/>
      <c r="P7" s="99"/>
      <c r="Q7" s="99"/>
      <c r="S7" s="99"/>
      <c r="T7" s="99"/>
      <c r="U7" s="99"/>
      <c r="W7" s="99"/>
      <c r="X7" s="99"/>
      <c r="Y7" s="99"/>
    </row>
    <row r="8" spans="1:25" ht="13" thickBot="1" x14ac:dyDescent="0.3">
      <c r="B8" s="338"/>
      <c r="C8" s="338"/>
      <c r="D8" s="338"/>
      <c r="F8" s="136"/>
      <c r="G8" s="135">
        <v>0.21</v>
      </c>
      <c r="H8" s="134">
        <v>0.09</v>
      </c>
      <c r="O8" s="99"/>
      <c r="P8" s="99"/>
      <c r="Q8" s="99"/>
      <c r="S8" s="99"/>
      <c r="T8" s="99"/>
      <c r="U8" s="99"/>
      <c r="W8" s="99"/>
      <c r="X8" s="99"/>
      <c r="Y8" s="99"/>
    </row>
    <row r="9" spans="1:25" x14ac:dyDescent="0.25">
      <c r="B9" s="338"/>
      <c r="C9" s="338"/>
      <c r="D9" s="338"/>
      <c r="F9" s="133"/>
      <c r="G9" s="133"/>
      <c r="H9" s="133"/>
      <c r="O9" s="99"/>
      <c r="P9" s="99"/>
      <c r="Q9" s="99"/>
      <c r="S9" s="99"/>
      <c r="T9" s="99"/>
      <c r="U9" s="99"/>
      <c r="W9" s="99"/>
      <c r="X9" s="99"/>
      <c r="Y9" s="99"/>
    </row>
    <row r="10" spans="1:25" x14ac:dyDescent="0.25">
      <c r="B10" s="338"/>
      <c r="C10" s="338"/>
      <c r="D10" s="338"/>
      <c r="M10" s="108" t="s">
        <v>101</v>
      </c>
      <c r="N10" s="119"/>
      <c r="O10" s="92"/>
      <c r="P10" s="92"/>
      <c r="Q10" s="132"/>
      <c r="S10" s="92"/>
      <c r="T10" s="92"/>
      <c r="U10" s="132"/>
      <c r="W10" s="92"/>
      <c r="X10" s="92"/>
      <c r="Y10" s="132"/>
    </row>
    <row r="11" spans="1:25" ht="25" x14ac:dyDescent="0.25">
      <c r="B11" s="338"/>
      <c r="C11" s="338"/>
      <c r="D11" s="338"/>
      <c r="F11" s="108"/>
      <c r="G11" s="330" t="s">
        <v>79</v>
      </c>
      <c r="H11" s="330"/>
      <c r="I11" s="131" t="s">
        <v>78</v>
      </c>
      <c r="J11" s="119"/>
      <c r="K11" s="336" t="s">
        <v>100</v>
      </c>
      <c r="L11" s="336"/>
      <c r="M11" s="336"/>
      <c r="N11" s="119"/>
      <c r="O11" s="335" t="s">
        <v>99</v>
      </c>
      <c r="P11" s="335"/>
      <c r="Q11" s="335"/>
      <c r="S11" s="335" t="s">
        <v>99</v>
      </c>
      <c r="T11" s="335"/>
      <c r="U11" s="335"/>
      <c r="W11" s="335" t="s">
        <v>99</v>
      </c>
      <c r="X11" s="335"/>
      <c r="Y11" s="335"/>
    </row>
    <row r="12" spans="1:25" ht="13" x14ac:dyDescent="0.3">
      <c r="A12" s="337" t="s">
        <v>98</v>
      </c>
      <c r="B12" s="337"/>
      <c r="C12" s="337"/>
      <c r="D12" s="337"/>
      <c r="F12" s="112" t="s">
        <v>97</v>
      </c>
      <c r="G12" s="112" t="s">
        <v>74</v>
      </c>
      <c r="H12" s="112" t="s">
        <v>73</v>
      </c>
      <c r="I12" s="126" t="s">
        <v>72</v>
      </c>
      <c r="J12" s="127"/>
      <c r="K12" s="130" t="s">
        <v>96</v>
      </c>
      <c r="L12" s="130" t="s">
        <v>95</v>
      </c>
      <c r="M12" s="130" t="s">
        <v>94</v>
      </c>
      <c r="N12" s="129"/>
      <c r="O12" s="128" t="s">
        <v>77</v>
      </c>
      <c r="P12" s="128" t="s">
        <v>76</v>
      </c>
      <c r="Q12" s="128" t="s">
        <v>75</v>
      </c>
      <c r="S12" s="128" t="s">
        <v>77</v>
      </c>
      <c r="T12" s="128" t="s">
        <v>76</v>
      </c>
      <c r="U12" s="128" t="s">
        <v>75</v>
      </c>
      <c r="W12" s="128" t="s">
        <v>77</v>
      </c>
      <c r="X12" s="128" t="s">
        <v>76</v>
      </c>
      <c r="Y12" s="128" t="s">
        <v>75</v>
      </c>
    </row>
    <row r="13" spans="1:25" ht="13" x14ac:dyDescent="0.3">
      <c r="A13" s="88" t="s">
        <v>93</v>
      </c>
      <c r="B13" s="88" t="s">
        <v>92</v>
      </c>
      <c r="C13" s="88" t="s">
        <v>91</v>
      </c>
      <c r="D13" s="88" t="s">
        <v>90</v>
      </c>
      <c r="F13" s="108"/>
      <c r="G13" s="108"/>
      <c r="H13" s="108"/>
      <c r="I13" s="92"/>
      <c r="K13" s="112" t="s">
        <v>71</v>
      </c>
      <c r="L13" s="112" t="s">
        <v>71</v>
      </c>
      <c r="M13" s="112" t="s">
        <v>71</v>
      </c>
      <c r="N13" s="127"/>
      <c r="O13" s="126" t="s">
        <v>71</v>
      </c>
      <c r="P13" s="126" t="s">
        <v>71</v>
      </c>
      <c r="Q13" s="126" t="s">
        <v>71</v>
      </c>
      <c r="S13" s="126" t="s">
        <v>71</v>
      </c>
      <c r="T13" s="126" t="s">
        <v>71</v>
      </c>
      <c r="U13" s="126" t="s">
        <v>71</v>
      </c>
      <c r="W13" s="126" t="s">
        <v>71</v>
      </c>
      <c r="X13" s="126" t="s">
        <v>71</v>
      </c>
      <c r="Y13" s="126" t="s">
        <v>71</v>
      </c>
    </row>
    <row r="14" spans="1:25" ht="13" x14ac:dyDescent="0.3">
      <c r="A14" s="123">
        <v>116.86</v>
      </c>
      <c r="B14" s="118">
        <f>K14/A14</f>
        <v>16.634886253636829</v>
      </c>
      <c r="C14" s="118">
        <f>O14/A14</f>
        <v>14.540516210850591</v>
      </c>
      <c r="D14" s="120">
        <f>SUM(G14,H14)</f>
        <v>8273.8153999999995</v>
      </c>
      <c r="E14" s="125"/>
      <c r="F14" s="112" t="s">
        <v>89</v>
      </c>
      <c r="G14" s="122">
        <v>7756.2950000000001</v>
      </c>
      <c r="H14" s="122">
        <v>517.5204</v>
      </c>
      <c r="I14" s="117">
        <v>4079</v>
      </c>
      <c r="J14" s="124"/>
      <c r="K14" s="118">
        <f>G14*$G$3+H14*$H$3</f>
        <v>1943.9528075999999</v>
      </c>
      <c r="L14" s="122">
        <v>1852.9555319999999</v>
      </c>
      <c r="M14" s="118">
        <f>K14+L14</f>
        <v>3796.9083395999996</v>
      </c>
      <c r="N14" s="124"/>
      <c r="O14" s="117">
        <f>G14*$G$4+H14*$H$4</f>
        <v>1699.2047244</v>
      </c>
      <c r="P14" s="117">
        <f>I14*$H$4</f>
        <v>554.74400000000003</v>
      </c>
      <c r="Q14" s="117">
        <f>SUM(O14:P14)</f>
        <v>2253.9487244000002</v>
      </c>
      <c r="S14" s="117">
        <f>G14*$G$4+H14*$H$6</f>
        <v>1693.5119999999999</v>
      </c>
      <c r="T14" s="117">
        <f>M14*$H$4</f>
        <v>516.37953418559994</v>
      </c>
      <c r="U14" s="117">
        <f>SUM(S14:T14)</f>
        <v>2209.8915341856</v>
      </c>
      <c r="W14" s="117">
        <f>O14*$G$4+P14*$H$8</f>
        <v>406.75995212399999</v>
      </c>
      <c r="X14" s="117">
        <f>Q14*$H$4</f>
        <v>306.53702651840007</v>
      </c>
      <c r="Y14" s="117">
        <f>SUM(W14:X14)</f>
        <v>713.29697864240006</v>
      </c>
    </row>
    <row r="15" spans="1:25" x14ac:dyDescent="0.25">
      <c r="B15" s="118"/>
      <c r="C15" s="118"/>
      <c r="D15" s="120"/>
      <c r="F15" s="108"/>
      <c r="G15" s="108"/>
      <c r="H15" s="108"/>
      <c r="I15" s="117"/>
      <c r="J15" s="119"/>
      <c r="K15" s="118"/>
      <c r="M15" s="118"/>
      <c r="O15" s="117"/>
      <c r="P15" s="117"/>
      <c r="Q15" s="117"/>
      <c r="S15" s="117"/>
      <c r="T15" s="117"/>
      <c r="U15" s="117"/>
      <c r="W15" s="117"/>
      <c r="X15" s="117"/>
      <c r="Y15" s="117"/>
    </row>
    <row r="16" spans="1:25" ht="13" x14ac:dyDescent="0.3">
      <c r="A16" s="123">
        <v>84.24</v>
      </c>
      <c r="B16" s="118">
        <f>K16/A16</f>
        <v>17.73187321937322</v>
      </c>
      <c r="C16" s="118">
        <f>O16/A16</f>
        <v>15.301020892687561</v>
      </c>
      <c r="D16" s="120">
        <f>SUM(G16,H16)</f>
        <v>6294</v>
      </c>
      <c r="F16" s="110" t="s">
        <v>88</v>
      </c>
      <c r="G16" s="123">
        <v>5851</v>
      </c>
      <c r="H16" s="123">
        <v>443</v>
      </c>
      <c r="I16" s="117">
        <v>3428</v>
      </c>
      <c r="J16" s="119"/>
      <c r="K16" s="118">
        <f>G16*$G$3+H16*$H$3</f>
        <v>1493.7329999999999</v>
      </c>
      <c r="L16" s="122">
        <v>1531.432656</v>
      </c>
      <c r="M16" s="118">
        <f>K16+L16</f>
        <v>3025.1656560000001</v>
      </c>
      <c r="O16" s="117">
        <f>G16*$G$4+H16*$H$4</f>
        <v>1288.9580000000001</v>
      </c>
      <c r="P16" s="117">
        <f>I16*$H$4</f>
        <v>466.20800000000003</v>
      </c>
      <c r="Q16" s="117">
        <f>SUM(O16:P16)</f>
        <v>1755.1660000000002</v>
      </c>
      <c r="S16" s="117">
        <f>K16*$G$4+L16*$H$6</f>
        <v>505.11301199999997</v>
      </c>
      <c r="T16" s="117">
        <f>M16*$H$4</f>
        <v>411.42252921600004</v>
      </c>
      <c r="U16" s="117">
        <f>SUM(S16:T16)</f>
        <v>916.53554121599996</v>
      </c>
      <c r="W16" s="117">
        <f>O16*$G$4+P16*$H$8</f>
        <v>312.63990000000001</v>
      </c>
      <c r="X16" s="117">
        <f>Q16*$H$4</f>
        <v>238.70257600000005</v>
      </c>
      <c r="Y16" s="117">
        <f>SUM(W16:X16)</f>
        <v>551.34247600000003</v>
      </c>
    </row>
    <row r="17" spans="1:25" x14ac:dyDescent="0.25">
      <c r="B17" s="118"/>
      <c r="C17" s="118"/>
      <c r="D17" s="120"/>
      <c r="F17" s="108"/>
      <c r="G17" s="108"/>
      <c r="H17" s="108"/>
      <c r="I17" s="117"/>
      <c r="J17" s="119"/>
      <c r="K17" s="118"/>
      <c r="M17" s="118"/>
      <c r="O17" s="117"/>
      <c r="P17" s="117"/>
      <c r="Q17" s="117"/>
      <c r="S17" s="117"/>
      <c r="T17" s="117"/>
      <c r="U17" s="117"/>
      <c r="W17" s="117"/>
      <c r="X17" s="117"/>
      <c r="Y17" s="117"/>
    </row>
    <row r="18" spans="1:25" ht="13" x14ac:dyDescent="0.3">
      <c r="A18" s="123">
        <v>70.09</v>
      </c>
      <c r="B18" s="118">
        <f>K18/A18</f>
        <v>16.150651472392639</v>
      </c>
      <c r="C18" s="118">
        <f>O18/A18</f>
        <v>13.657472267085176</v>
      </c>
      <c r="D18" s="120">
        <f>SUM(G18,H18)</f>
        <v>4695.3471</v>
      </c>
      <c r="F18" s="110" t="s">
        <v>87</v>
      </c>
      <c r="G18" s="122">
        <v>4306.5544</v>
      </c>
      <c r="H18" s="122">
        <v>388.79270000000002</v>
      </c>
      <c r="I18" s="117">
        <v>1531.432656</v>
      </c>
      <c r="J18" s="119"/>
      <c r="K18" s="118">
        <f>G18*$G$3+H18*$H$3</f>
        <v>1131.9991617000001</v>
      </c>
      <c r="L18" s="122">
        <v>1343.3449400000002</v>
      </c>
      <c r="M18" s="118">
        <f>K18+L18</f>
        <v>2475.3441017000005</v>
      </c>
      <c r="O18" s="117">
        <f>G18*$G$4+H18*$H$4</f>
        <v>957.25223119999998</v>
      </c>
      <c r="P18" s="117">
        <f>I18*$H$4</f>
        <v>208.274841216</v>
      </c>
      <c r="Q18" s="117">
        <f>SUM(O18:P18)</f>
        <v>1165.527072416</v>
      </c>
      <c r="S18" s="117">
        <f>K18*$G$4+L18*$H$6</f>
        <v>405.63794145700001</v>
      </c>
      <c r="T18" s="117">
        <f>M18*$H$4</f>
        <v>336.6467978312001</v>
      </c>
      <c r="U18" s="117">
        <f>SUM(S18:T18)</f>
        <v>742.28473928820017</v>
      </c>
      <c r="W18" s="117">
        <f>O18*$G$4+P18*$H$8</f>
        <v>219.76770426143997</v>
      </c>
      <c r="X18" s="117">
        <f>Q18*$H$4</f>
        <v>158.51168184857602</v>
      </c>
      <c r="Y18" s="117">
        <f>SUM(W18:X18)</f>
        <v>378.27938611001599</v>
      </c>
    </row>
    <row r="19" spans="1:25" x14ac:dyDescent="0.25">
      <c r="B19" s="118"/>
      <c r="C19" s="118"/>
      <c r="D19" s="120"/>
      <c r="F19" s="108"/>
      <c r="G19" s="118"/>
      <c r="H19" s="118"/>
      <c r="I19" s="117"/>
      <c r="J19" s="119"/>
      <c r="K19" s="118"/>
      <c r="M19" s="118"/>
      <c r="O19" s="117"/>
      <c r="P19" s="117"/>
      <c r="Q19" s="117"/>
      <c r="S19" s="117"/>
      <c r="T19" s="117"/>
      <c r="U19" s="117"/>
      <c r="W19" s="117"/>
      <c r="X19" s="117"/>
      <c r="Y19" s="117"/>
    </row>
    <row r="20" spans="1:25" ht="13" x14ac:dyDescent="0.3">
      <c r="A20" s="123">
        <v>84.24</v>
      </c>
      <c r="B20" s="118">
        <f>K20/A20</f>
        <v>16.384103774928775</v>
      </c>
      <c r="C20" s="118">
        <f>O20/A20</f>
        <v>13.960042466761633</v>
      </c>
      <c r="D20" s="120">
        <f>SUM(G20,H20)</f>
        <v>5758.5442999999996</v>
      </c>
      <c r="F20" s="110" t="s">
        <v>86</v>
      </c>
      <c r="G20" s="122">
        <v>5308.5398999999998</v>
      </c>
      <c r="H20" s="122">
        <v>450.00439999999998</v>
      </c>
      <c r="I20" s="117">
        <f>L20/$H$3</f>
        <v>2950.7372947976878</v>
      </c>
      <c r="J20" s="119"/>
      <c r="K20" s="118">
        <f>G20*$G$3+H20*$H$3</f>
        <v>1380.1969019999999</v>
      </c>
      <c r="L20" s="122">
        <v>1531.432656</v>
      </c>
      <c r="M20" s="118">
        <f>K20+L20</f>
        <v>2911.6295579999996</v>
      </c>
      <c r="O20" s="117">
        <f>G20*$G$4+H20*$H$4</f>
        <v>1175.9939773999999</v>
      </c>
      <c r="P20" s="117">
        <f>I20*$H$4</f>
        <v>401.30027209248556</v>
      </c>
      <c r="Q20" s="117">
        <f>SUM(O20:P20)</f>
        <v>1577.2942494924855</v>
      </c>
      <c r="S20" s="117">
        <f>K20*$G$4+L20*$H$6</f>
        <v>481.27043141999997</v>
      </c>
      <c r="T20" s="117">
        <f>M20*$H$4</f>
        <v>395.98161988799995</v>
      </c>
      <c r="U20" s="117">
        <f>SUM(S20:T20)</f>
        <v>877.25205130799986</v>
      </c>
      <c r="W20" s="117">
        <f>O20*$G$4+P20*$H$8</f>
        <v>283.07575974232367</v>
      </c>
      <c r="X20" s="117">
        <f>Q20*$H$4</f>
        <v>214.51201793097803</v>
      </c>
      <c r="Y20" s="117">
        <f>SUM(W20:X20)</f>
        <v>497.58777767330173</v>
      </c>
    </row>
    <row r="21" spans="1:25" x14ac:dyDescent="0.25">
      <c r="B21" s="118"/>
      <c r="C21" s="118"/>
      <c r="D21" s="120"/>
      <c r="F21" s="108"/>
      <c r="G21" s="118"/>
      <c r="H21" s="118"/>
      <c r="I21" s="117"/>
      <c r="J21" s="119"/>
      <c r="K21" s="118"/>
      <c r="M21" s="118"/>
      <c r="O21" s="117"/>
      <c r="P21" s="117"/>
      <c r="Q21" s="117"/>
      <c r="S21" s="117"/>
      <c r="T21" s="117"/>
      <c r="U21" s="117"/>
      <c r="W21" s="117"/>
      <c r="X21" s="117"/>
      <c r="Y21" s="117"/>
    </row>
    <row r="22" spans="1:25" ht="13" x14ac:dyDescent="0.3">
      <c r="A22" s="123">
        <v>42.96</v>
      </c>
      <c r="B22" s="118">
        <f>K22/A22</f>
        <v>18.92187412709497</v>
      </c>
      <c r="C22" s="118">
        <f>O22/A22</f>
        <v>15.992709371508379</v>
      </c>
      <c r="D22" s="120">
        <f>SUM(G22,H22)</f>
        <v>3370.3692000000001</v>
      </c>
      <c r="F22" s="110" t="s">
        <v>85</v>
      </c>
      <c r="G22" s="122">
        <v>3090.2240999999999</v>
      </c>
      <c r="H22" s="122">
        <v>280.14510000000001</v>
      </c>
      <c r="I22" s="117">
        <f>L22/$H$3</f>
        <v>1771.4336647398845</v>
      </c>
      <c r="J22" s="119"/>
      <c r="K22" s="118">
        <f>G22*$G$3+H22*$H$3</f>
        <v>812.8837125</v>
      </c>
      <c r="L22" s="122">
        <v>919.37407200000007</v>
      </c>
      <c r="M22" s="118">
        <f>K22+L22</f>
        <v>1732.2577845000001</v>
      </c>
      <c r="O22" s="117">
        <f>G22*$G$4+H22*$H$4</f>
        <v>687.0467946</v>
      </c>
      <c r="P22" s="117">
        <f>I22*$H$4</f>
        <v>240.91497840462432</v>
      </c>
      <c r="Q22" s="117">
        <f>SUM(O22:P22)</f>
        <v>927.96177300462432</v>
      </c>
      <c r="S22" s="117">
        <f>K22*$G$4+L22*$H$6</f>
        <v>285.62733862499999</v>
      </c>
      <c r="T22" s="117">
        <f>M22*$H$4</f>
        <v>235.58705869200003</v>
      </c>
      <c r="U22" s="117">
        <f>SUM(S22:T22)</f>
        <v>521.21439731700002</v>
      </c>
      <c r="W22" s="117">
        <f>O22*$G$4+P22*$H$8</f>
        <v>165.96217492241618</v>
      </c>
      <c r="X22" s="117">
        <f>Q22*$H$4</f>
        <v>126.20280112862892</v>
      </c>
      <c r="Y22" s="117">
        <f>SUM(W22:X22)</f>
        <v>292.16497605104507</v>
      </c>
    </row>
    <row r="23" spans="1:25" x14ac:dyDescent="0.25">
      <c r="B23" s="118"/>
      <c r="C23" s="118"/>
      <c r="D23" s="120"/>
      <c r="F23" s="108"/>
      <c r="G23" s="118"/>
      <c r="H23" s="118"/>
      <c r="I23" s="117"/>
      <c r="J23" s="119"/>
      <c r="K23" s="118"/>
      <c r="M23" s="118"/>
      <c r="O23" s="117"/>
      <c r="P23" s="117"/>
      <c r="Q23" s="117"/>
      <c r="S23" s="117"/>
      <c r="T23" s="117"/>
      <c r="U23" s="117"/>
      <c r="W23" s="117"/>
      <c r="X23" s="117"/>
      <c r="Y23" s="117"/>
    </row>
    <row r="24" spans="1:25" ht="13" x14ac:dyDescent="0.3">
      <c r="A24" s="123">
        <v>89.5</v>
      </c>
      <c r="B24" s="118">
        <f>K24/A24</f>
        <v>18.645712639106144</v>
      </c>
      <c r="C24" s="118">
        <f>O24/A24</f>
        <v>16.206452981005587</v>
      </c>
      <c r="D24" s="120">
        <f>SUM(G24,H24)</f>
        <v>7071.4353000000001</v>
      </c>
      <c r="F24" s="112" t="s">
        <v>84</v>
      </c>
      <c r="G24" s="122">
        <v>6604.8964999999998</v>
      </c>
      <c r="H24" s="122">
        <v>466.53879999999998</v>
      </c>
      <c r="I24" s="117">
        <f>L24/$H$3</f>
        <v>3069.1947013487475</v>
      </c>
      <c r="J24" s="119"/>
      <c r="K24" s="118">
        <f>G24*$G$3+H24*$H$3</f>
        <v>1668.7912812</v>
      </c>
      <c r="L24" s="122">
        <v>1592.9120499999999</v>
      </c>
      <c r="M24" s="118">
        <f>K24+L24</f>
        <v>3261.7033311999999</v>
      </c>
      <c r="O24" s="117">
        <f>G24*$G$4+H24*$H$4</f>
        <v>1450.4775417999999</v>
      </c>
      <c r="P24" s="117">
        <f>I24*$H$4</f>
        <v>417.41047938342967</v>
      </c>
      <c r="Q24" s="117">
        <f>SUM(O24:P24)</f>
        <v>1867.8880211834296</v>
      </c>
      <c r="S24" s="117">
        <f>K24*$G$4+L24*$H$6</f>
        <v>549.56017530199995</v>
      </c>
      <c r="T24" s="117">
        <f>M24*$H$4</f>
        <v>443.59165304320004</v>
      </c>
      <c r="U24" s="117">
        <f>SUM(S24:T24)</f>
        <v>993.15182834519999</v>
      </c>
      <c r="W24" s="117">
        <f>O24*$G$4+P24*$H$8</f>
        <v>342.16722692250863</v>
      </c>
      <c r="X24" s="117">
        <f>Q24*$H$4</f>
        <v>254.03277088094643</v>
      </c>
      <c r="Y24" s="117">
        <f>SUM(W24:X24)</f>
        <v>596.19999780345506</v>
      </c>
    </row>
    <row r="25" spans="1:25" x14ac:dyDescent="0.25">
      <c r="B25" s="118"/>
      <c r="C25" s="118"/>
      <c r="D25" s="120"/>
      <c r="F25" s="108"/>
      <c r="G25" s="118"/>
      <c r="H25" s="118"/>
      <c r="I25" s="117"/>
      <c r="J25" s="119"/>
      <c r="K25" s="118"/>
      <c r="M25" s="118"/>
      <c r="O25" s="117"/>
      <c r="P25" s="117"/>
      <c r="Q25" s="117"/>
      <c r="S25" s="117"/>
      <c r="T25" s="117"/>
      <c r="U25" s="117"/>
      <c r="W25" s="117"/>
      <c r="X25" s="117"/>
      <c r="Y25" s="117"/>
    </row>
    <row r="26" spans="1:25" ht="13" x14ac:dyDescent="0.3">
      <c r="A26" s="123">
        <v>89.53</v>
      </c>
      <c r="B26" s="118">
        <f>K26/A26</f>
        <v>17.67181082988942</v>
      </c>
      <c r="C26" s="118">
        <f>O26/A26</f>
        <v>15.260247802971069</v>
      </c>
      <c r="D26" s="120">
        <f>SUM(G26,H26)</f>
        <v>6670.3517000000002</v>
      </c>
      <c r="F26" s="112" t="s">
        <v>83</v>
      </c>
      <c r="G26" s="122">
        <v>6203.8128999999999</v>
      </c>
      <c r="H26" s="122">
        <v>466.53879999999998</v>
      </c>
      <c r="I26" s="117">
        <f>L26/$H$3</f>
        <v>3070.2234816955679</v>
      </c>
      <c r="J26" s="119"/>
      <c r="K26" s="118">
        <f>G26*$G$3+H26*$H$3</f>
        <v>1582.1572236</v>
      </c>
      <c r="L26" s="122">
        <v>1593.4459869999998</v>
      </c>
      <c r="M26" s="118">
        <f>K26+L26</f>
        <v>3175.6032105999998</v>
      </c>
      <c r="O26" s="117">
        <f>G26*$G$4+H26*$H$4</f>
        <v>1366.2499857999999</v>
      </c>
      <c r="P26" s="117">
        <f>I26*$H$4</f>
        <v>417.55039351059725</v>
      </c>
      <c r="Q26" s="117">
        <f>SUM(O26:P26)</f>
        <v>1783.8003793105972</v>
      </c>
      <c r="S26" s="117">
        <f>K26*$G$4+L26*$H$6</f>
        <v>531.4337653309999</v>
      </c>
      <c r="T26" s="117">
        <f>M26*$H$4</f>
        <v>431.8820366416</v>
      </c>
      <c r="U26" s="117">
        <f>SUM(S26:T26)</f>
        <v>963.31580197259996</v>
      </c>
      <c r="W26" s="117">
        <f>O26*$G$4+P26*$H$8</f>
        <v>324.49203243395368</v>
      </c>
      <c r="X26" s="117">
        <f>Q26*$H$4</f>
        <v>242.59685158624123</v>
      </c>
      <c r="Y26" s="117">
        <f>SUM(W26:X26)</f>
        <v>567.08888402019488</v>
      </c>
    </row>
    <row r="27" spans="1:25" x14ac:dyDescent="0.25">
      <c r="B27" s="118"/>
      <c r="C27" s="118"/>
      <c r="D27" s="120"/>
      <c r="F27" s="108"/>
      <c r="G27" s="118"/>
      <c r="H27" s="118"/>
      <c r="I27" s="117"/>
      <c r="J27" s="119"/>
      <c r="K27" s="118"/>
      <c r="M27" s="118"/>
      <c r="O27" s="117"/>
      <c r="P27" s="117"/>
      <c r="Q27" s="117"/>
      <c r="S27" s="117"/>
      <c r="T27" s="117"/>
      <c r="U27" s="117"/>
      <c r="W27" s="117"/>
      <c r="X27" s="117"/>
      <c r="Y27" s="117"/>
    </row>
    <row r="28" spans="1:25" ht="13" x14ac:dyDescent="0.3">
      <c r="A28" s="123">
        <v>70.09</v>
      </c>
      <c r="B28" s="118">
        <f>K28/A28</f>
        <v>16.051756200599229</v>
      </c>
      <c r="C28" s="118">
        <f>O28/A28</f>
        <v>13.561324086174915</v>
      </c>
      <c r="D28" s="120">
        <f>SUM(G28,H28)</f>
        <v>4663.2564999999995</v>
      </c>
      <c r="F28" s="112" t="s">
        <v>82</v>
      </c>
      <c r="G28" s="122">
        <v>4274.4637999999995</v>
      </c>
      <c r="H28" s="122">
        <v>388.79270000000002</v>
      </c>
      <c r="I28" s="117">
        <f>L28/$H$3</f>
        <v>2588.3332177263974</v>
      </c>
      <c r="J28" s="119"/>
      <c r="K28" s="118">
        <f>G28*$G$3+H28*$H$3</f>
        <v>1125.0675921</v>
      </c>
      <c r="L28" s="122">
        <v>1343.3449400000002</v>
      </c>
      <c r="M28" s="118">
        <f>K28+L28</f>
        <v>2468.4125321000001</v>
      </c>
      <c r="O28" s="117">
        <f>G28*$G$4+H28*$H$4</f>
        <v>950.5132051999999</v>
      </c>
      <c r="P28" s="117">
        <f>I28*$H$4</f>
        <v>352.01331761079007</v>
      </c>
      <c r="Q28" s="117">
        <f>SUM(O28:P28)</f>
        <v>1302.5265228107901</v>
      </c>
      <c r="S28" s="117">
        <f>K28*$G$4+L28*$H$6</f>
        <v>404.182311841</v>
      </c>
      <c r="T28" s="117">
        <f>M28*$H$4</f>
        <v>335.70410436560002</v>
      </c>
      <c r="U28" s="117">
        <f>SUM(S28:T28)</f>
        <v>739.88641620659996</v>
      </c>
      <c r="W28" s="117">
        <f>O28*$G$4+P28*$H$8</f>
        <v>231.28897167697107</v>
      </c>
      <c r="X28" s="117">
        <f>Q28*$H$4</f>
        <v>177.14360710226745</v>
      </c>
      <c r="Y28" s="117">
        <f>SUM(W28:X28)</f>
        <v>408.4325787792385</v>
      </c>
    </row>
    <row r="29" spans="1:25" x14ac:dyDescent="0.25">
      <c r="B29" s="118"/>
      <c r="C29" s="118"/>
      <c r="D29" s="120"/>
      <c r="F29" s="108"/>
      <c r="G29" s="118"/>
      <c r="H29" s="118"/>
      <c r="I29" s="117"/>
      <c r="J29" s="119"/>
      <c r="K29" s="118"/>
      <c r="M29" s="118"/>
      <c r="O29" s="117"/>
      <c r="P29" s="117"/>
      <c r="Q29" s="117"/>
      <c r="S29" s="117"/>
      <c r="T29" s="117"/>
      <c r="U29" s="117"/>
      <c r="W29" s="117"/>
      <c r="X29" s="117"/>
      <c r="Y29" s="117"/>
    </row>
    <row r="30" spans="1:25" ht="13" x14ac:dyDescent="0.3">
      <c r="A30" s="123">
        <v>42.96</v>
      </c>
      <c r="B30" s="118">
        <f>K30/A30</f>
        <v>18.750892730446928</v>
      </c>
      <c r="C30" s="118">
        <f>O30/A30</f>
        <v>15.826477458100557</v>
      </c>
      <c r="D30" s="120">
        <f>SUM(G30,H30)</f>
        <v>3336.3629000000001</v>
      </c>
      <c r="F30" s="112" t="s">
        <v>81</v>
      </c>
      <c r="G30" s="122">
        <v>3056.2177999999999</v>
      </c>
      <c r="H30" s="122">
        <v>280.14510000000001</v>
      </c>
      <c r="I30" s="117">
        <f>L30/$H$3</f>
        <v>1771.4336647398845</v>
      </c>
      <c r="J30" s="119"/>
      <c r="K30" s="118">
        <f>G30*$G$3+H30*$H$3</f>
        <v>805.53835170000002</v>
      </c>
      <c r="L30" s="122">
        <v>919.37407200000007</v>
      </c>
      <c r="M30" s="118">
        <f>K30+L30</f>
        <v>1724.9124237000001</v>
      </c>
      <c r="O30" s="117">
        <f>G30*$G$4+H30*$H$4</f>
        <v>679.90547159999994</v>
      </c>
      <c r="P30" s="117">
        <f>I30*$H$4</f>
        <v>240.91497840462432</v>
      </c>
      <c r="Q30" s="117">
        <f>SUM(O30:P30)</f>
        <v>920.82045000462426</v>
      </c>
      <c r="S30" s="117">
        <f>K30*$G$4+L30*$H$6</f>
        <v>284.08481285699997</v>
      </c>
      <c r="T30" s="117">
        <f>M30*$H$4</f>
        <v>234.58808962320003</v>
      </c>
      <c r="U30" s="117">
        <f>SUM(S30:T30)</f>
        <v>518.67290248020004</v>
      </c>
      <c r="W30" s="117">
        <f>O30*$G$4+P30*$H$8</f>
        <v>164.46249709241619</v>
      </c>
      <c r="X30" s="117">
        <f>Q30*$H$4</f>
        <v>125.23158120062891</v>
      </c>
      <c r="Y30" s="117">
        <f>SUM(W30:X30)</f>
        <v>289.6940782930451</v>
      </c>
    </row>
    <row r="31" spans="1:25" x14ac:dyDescent="0.25">
      <c r="B31" s="121"/>
      <c r="C31" s="121"/>
      <c r="D31" s="120"/>
      <c r="F31" s="108"/>
      <c r="G31" s="108"/>
      <c r="H31" s="108"/>
      <c r="I31" s="118"/>
      <c r="J31" s="119"/>
      <c r="K31" s="118"/>
      <c r="L31" s="118"/>
      <c r="M31" s="118"/>
      <c r="O31" s="117"/>
      <c r="P31" s="117"/>
      <c r="Q31" s="117"/>
      <c r="S31" s="92"/>
      <c r="T31" s="92"/>
      <c r="U31" s="92"/>
      <c r="W31" s="92"/>
      <c r="X31" s="92"/>
      <c r="Y31" s="92"/>
    </row>
    <row r="32" spans="1:25" x14ac:dyDescent="0.25">
      <c r="O32" s="92"/>
      <c r="P32" s="92"/>
      <c r="Q32" s="92"/>
      <c r="S32" s="92"/>
      <c r="T32" s="92"/>
      <c r="U32" s="92"/>
      <c r="W32" s="92"/>
      <c r="X32" s="92"/>
      <c r="Y32" s="92"/>
    </row>
    <row r="33" spans="6:25" x14ac:dyDescent="0.25">
      <c r="O33" s="92"/>
      <c r="P33" s="92"/>
      <c r="Q33" s="92"/>
      <c r="S33" s="92"/>
      <c r="T33" s="92"/>
      <c r="U33" s="92"/>
      <c r="W33" s="92"/>
      <c r="X33" s="92"/>
      <c r="Y33" s="92"/>
    </row>
    <row r="34" spans="6:25" x14ac:dyDescent="0.25">
      <c r="F34" s="331" t="s">
        <v>80</v>
      </c>
      <c r="G34" s="331"/>
      <c r="H34" s="331"/>
      <c r="I34" s="331"/>
      <c r="O34" s="92"/>
      <c r="P34" s="92"/>
      <c r="Q34" s="92"/>
      <c r="S34" s="92"/>
      <c r="T34" s="92"/>
      <c r="U34" s="92"/>
      <c r="W34" s="92"/>
      <c r="X34" s="92"/>
      <c r="Y34" s="92"/>
    </row>
    <row r="35" spans="6:25" x14ac:dyDescent="0.25">
      <c r="F35" s="331"/>
      <c r="G35" s="331"/>
      <c r="H35" s="331"/>
      <c r="I35" s="331"/>
      <c r="O35" s="92"/>
      <c r="P35" s="92"/>
      <c r="Q35" s="92"/>
      <c r="S35" s="92"/>
      <c r="T35" s="92"/>
      <c r="U35" s="92"/>
      <c r="W35" s="92"/>
      <c r="X35" s="92"/>
      <c r="Y35" s="92"/>
    </row>
    <row r="36" spans="6:25" x14ac:dyDescent="0.25">
      <c r="O36" s="332" t="s">
        <v>58</v>
      </c>
      <c r="P36" s="332"/>
      <c r="Q36" s="332"/>
      <c r="S36" s="330" t="s">
        <v>59</v>
      </c>
      <c r="T36" s="330"/>
      <c r="U36" s="330"/>
      <c r="W36" s="330" t="s">
        <v>106</v>
      </c>
      <c r="X36" s="330"/>
      <c r="Y36" s="330"/>
    </row>
    <row r="37" spans="6:25" ht="13" x14ac:dyDescent="0.3">
      <c r="G37" s="330" t="s">
        <v>79</v>
      </c>
      <c r="H37" s="330"/>
      <c r="I37" s="116" t="s">
        <v>78</v>
      </c>
      <c r="O37" s="114" t="s">
        <v>77</v>
      </c>
      <c r="P37" s="115" t="s">
        <v>76</v>
      </c>
      <c r="Q37" s="113" t="s">
        <v>75</v>
      </c>
      <c r="S37" s="114" t="s">
        <v>77</v>
      </c>
      <c r="T37" s="115" t="s">
        <v>76</v>
      </c>
      <c r="U37" s="113" t="s">
        <v>75</v>
      </c>
      <c r="W37" s="114" t="s">
        <v>77</v>
      </c>
      <c r="X37" s="115" t="s">
        <v>76</v>
      </c>
      <c r="Y37" s="113" t="s">
        <v>75</v>
      </c>
    </row>
    <row r="38" spans="6:25" ht="13" x14ac:dyDescent="0.3">
      <c r="G38" s="112" t="s">
        <v>74</v>
      </c>
      <c r="H38" s="112" t="s">
        <v>73</v>
      </c>
      <c r="I38" s="112" t="s">
        <v>72</v>
      </c>
      <c r="O38" s="110" t="s">
        <v>71</v>
      </c>
      <c r="P38" s="111" t="s">
        <v>71</v>
      </c>
      <c r="Q38" s="109" t="s">
        <v>71</v>
      </c>
      <c r="S38" s="110" t="s">
        <v>71</v>
      </c>
      <c r="T38" s="111" t="s">
        <v>71</v>
      </c>
      <c r="U38" s="109" t="s">
        <v>71</v>
      </c>
      <c r="W38" s="110" t="s">
        <v>71</v>
      </c>
      <c r="X38" s="111" t="s">
        <v>71</v>
      </c>
      <c r="Y38" s="109" t="s">
        <v>71</v>
      </c>
    </row>
    <row r="39" spans="6:25" x14ac:dyDescent="0.25">
      <c r="G39" s="108"/>
      <c r="H39" s="108"/>
      <c r="O39" s="106"/>
      <c r="P39" s="107"/>
      <c r="Q39" s="105"/>
      <c r="R39" s="99"/>
      <c r="S39" s="106"/>
      <c r="T39" s="107"/>
      <c r="U39" s="105"/>
      <c r="V39" s="99"/>
      <c r="W39" s="106"/>
      <c r="X39" s="107"/>
      <c r="Y39" s="105"/>
    </row>
    <row r="40" spans="6:25" ht="14.5" x14ac:dyDescent="0.25">
      <c r="F40" s="101" t="s">
        <v>70</v>
      </c>
      <c r="G40" s="103">
        <v>7756.2950000000001</v>
      </c>
      <c r="H40" s="103">
        <v>517.5204</v>
      </c>
      <c r="I40" s="103">
        <v>4079</v>
      </c>
      <c r="O40" s="95">
        <f>G40*$G$4+H40*$H$4</f>
        <v>1699.2047244</v>
      </c>
      <c r="P40" s="97">
        <f>I40*$H$4</f>
        <v>554.74400000000003</v>
      </c>
      <c r="Q40" s="96">
        <f>SUM(O40:P40)</f>
        <v>2253.9487244000002</v>
      </c>
      <c r="R40" s="99"/>
      <c r="S40" s="95">
        <f>G40*$G$6+H40*$H$6</f>
        <v>1693.5119999999999</v>
      </c>
      <c r="T40" s="97">
        <f>I40*$H$6</f>
        <v>509.875</v>
      </c>
      <c r="U40" s="96">
        <f>SUM(S40:T40)</f>
        <v>2203.3869999999997</v>
      </c>
      <c r="V40" s="98"/>
      <c r="W40" s="95">
        <f>G40*$G$8+H40*$H$8</f>
        <v>1675.398786</v>
      </c>
      <c r="X40" s="97">
        <f>I40*$H$8</f>
        <v>367.11</v>
      </c>
      <c r="Y40" s="96">
        <f>SUM(W40:X40)</f>
        <v>2042.5087859999999</v>
      </c>
    </row>
    <row r="41" spans="6:25" ht="14.5" x14ac:dyDescent="0.25">
      <c r="F41" s="101" t="s">
        <v>69</v>
      </c>
      <c r="G41" s="104">
        <v>5851</v>
      </c>
      <c r="H41" s="104">
        <v>443</v>
      </c>
      <c r="I41" s="103">
        <v>3428</v>
      </c>
      <c r="O41" s="95">
        <f>G41*$G$4+H41*$H$4</f>
        <v>1288.9580000000001</v>
      </c>
      <c r="P41" s="97">
        <f>I41*$H$4</f>
        <v>466.20800000000003</v>
      </c>
      <c r="Q41" s="96">
        <f>SUM(O41:P41)</f>
        <v>1755.1660000000002</v>
      </c>
      <c r="R41" s="99"/>
      <c r="S41" s="95">
        <f t="shared" ref="S41:S45" si="0">G41*$G$6+H41*$H$6</f>
        <v>1284.085</v>
      </c>
      <c r="T41" s="97">
        <f>I41*$H$6</f>
        <v>428.5</v>
      </c>
      <c r="U41" s="96">
        <f>SUM(S41:T41)</f>
        <v>1712.585</v>
      </c>
      <c r="V41" s="98"/>
      <c r="W41" s="95">
        <f t="shared" ref="W41:W45" si="1">G41*$G$8+H41*$H$8</f>
        <v>1268.58</v>
      </c>
      <c r="X41" s="97">
        <f>I41*$H$8</f>
        <v>308.52</v>
      </c>
      <c r="Y41" s="96">
        <f>SUM(W41:X41)</f>
        <v>1577.1</v>
      </c>
    </row>
    <row r="42" spans="6:25" ht="14.5" x14ac:dyDescent="0.25">
      <c r="F42" s="101" t="s">
        <v>68</v>
      </c>
      <c r="G42" s="100">
        <f>SUM(G30,G22)/2</f>
        <v>3073.2209499999999</v>
      </c>
      <c r="H42" s="100">
        <f>SUM(H30,H22)/2</f>
        <v>280.14510000000001</v>
      </c>
      <c r="I42" s="102">
        <v>2191</v>
      </c>
      <c r="O42" s="95">
        <f>G42*$G$4+H42*$H$4</f>
        <v>683.47613309999997</v>
      </c>
      <c r="P42" s="97">
        <f>I42*$H$4</f>
        <v>297.976</v>
      </c>
      <c r="Q42" s="96">
        <f>SUM(O42:P42)</f>
        <v>981.45213309999997</v>
      </c>
      <c r="R42" s="99"/>
      <c r="S42" s="95">
        <f t="shared" si="0"/>
        <v>680.3945369999999</v>
      </c>
      <c r="T42" s="97">
        <f>I42*$H$6</f>
        <v>273.875</v>
      </c>
      <c r="U42" s="96">
        <f>SUM(S42:T42)</f>
        <v>954.2695369999999</v>
      </c>
      <c r="V42" s="98"/>
      <c r="W42" s="95">
        <f t="shared" si="1"/>
        <v>670.58945849999998</v>
      </c>
      <c r="X42" s="97">
        <f>I42*$H$8</f>
        <v>197.19</v>
      </c>
      <c r="Y42" s="96">
        <f>SUM(W42:X42)</f>
        <v>867.77945849999992</v>
      </c>
    </row>
    <row r="43" spans="6:25" ht="14.5" x14ac:dyDescent="0.25">
      <c r="F43" s="101" t="s">
        <v>67</v>
      </c>
      <c r="G43" s="100">
        <f>SUM(G28,G18)/2</f>
        <v>4290.5090999999993</v>
      </c>
      <c r="H43" s="100">
        <f>SUM(H28,H18)/2</f>
        <v>388.79270000000002</v>
      </c>
      <c r="I43" s="102">
        <v>3063</v>
      </c>
      <c r="O43" s="95">
        <f>G43*$G$4+H43*$H$4</f>
        <v>953.88271819999989</v>
      </c>
      <c r="P43" s="97">
        <f>I43*$H$4</f>
        <v>416.56800000000004</v>
      </c>
      <c r="Q43" s="96">
        <f>SUM(O43:P43)</f>
        <v>1370.4507182</v>
      </c>
      <c r="R43" s="99"/>
      <c r="S43" s="95">
        <f t="shared" si="0"/>
        <v>949.60599849999983</v>
      </c>
      <c r="T43" s="97">
        <f>I43*$H$6</f>
        <v>382.875</v>
      </c>
      <c r="U43" s="96">
        <f>SUM(S43:T43)</f>
        <v>1332.4809984999997</v>
      </c>
      <c r="V43" s="98"/>
      <c r="W43" s="95">
        <f t="shared" si="1"/>
        <v>935.99825399999986</v>
      </c>
      <c r="X43" s="97">
        <f>I43*$H$8</f>
        <v>275.67</v>
      </c>
      <c r="Y43" s="96">
        <f>SUM(W43:X43)</f>
        <v>1211.6682539999999</v>
      </c>
    </row>
    <row r="44" spans="6:25" ht="14.5" x14ac:dyDescent="0.25">
      <c r="F44" s="101" t="s">
        <v>65</v>
      </c>
      <c r="G44" s="100">
        <f>SUM(G24,G26)/2</f>
        <v>6404.3546999999999</v>
      </c>
      <c r="H44" s="100">
        <f>SUM(H24,H26)/2</f>
        <v>466.53879999999998</v>
      </c>
      <c r="I44" s="100">
        <v>3428</v>
      </c>
      <c r="O44" s="95">
        <f>G44*$G$4+H44*$H$4</f>
        <v>1408.3637638</v>
      </c>
      <c r="P44" s="97">
        <f>I44*$H$4</f>
        <v>466.20800000000003</v>
      </c>
      <c r="Q44" s="96">
        <f>SUM(O44:P44)</f>
        <v>1874.5717638000001</v>
      </c>
      <c r="R44" s="99"/>
      <c r="S44" s="95">
        <f t="shared" si="0"/>
        <v>1403.231837</v>
      </c>
      <c r="T44" s="97">
        <f>I44*$H$6</f>
        <v>428.5</v>
      </c>
      <c r="U44" s="96">
        <f>SUM(S44:T44)</f>
        <v>1831.731837</v>
      </c>
      <c r="V44" s="98"/>
      <c r="W44" s="95">
        <f t="shared" si="1"/>
        <v>1386.902979</v>
      </c>
      <c r="X44" s="97">
        <f>I44*$H$8</f>
        <v>308.52</v>
      </c>
      <c r="Y44" s="96">
        <f>SUM(W44:X44)</f>
        <v>1695.4229789999999</v>
      </c>
    </row>
    <row r="45" spans="6:25" ht="14.5" x14ac:dyDescent="0.25">
      <c r="F45" s="101" t="s">
        <v>66</v>
      </c>
      <c r="G45" s="100">
        <f>SUM(G42:G43)/2</f>
        <v>3681.8650249999996</v>
      </c>
      <c r="H45" s="100">
        <f>SUM(H42:H43)/2</f>
        <v>334.46890000000002</v>
      </c>
      <c r="I45" s="100">
        <f>SUM(I42:I43)/2</f>
        <v>2627</v>
      </c>
      <c r="O45" s="95">
        <f t="shared" ref="O45:Y45" si="2">SUM(O42:O43)/2</f>
        <v>818.67942564999998</v>
      </c>
      <c r="P45" s="97">
        <f t="shared" si="2"/>
        <v>357.27200000000005</v>
      </c>
      <c r="Q45" s="96">
        <f t="shared" si="2"/>
        <v>1175.9514256499999</v>
      </c>
      <c r="R45" s="98">
        <f t="shared" si="2"/>
        <v>0</v>
      </c>
      <c r="S45" s="95">
        <f t="shared" si="0"/>
        <v>815.00026774999992</v>
      </c>
      <c r="T45" s="97">
        <f t="shared" si="2"/>
        <v>328.375</v>
      </c>
      <c r="U45" s="96">
        <f t="shared" si="2"/>
        <v>1143.3752677499997</v>
      </c>
      <c r="V45" s="98">
        <f t="shared" si="2"/>
        <v>0</v>
      </c>
      <c r="W45" s="95">
        <f t="shared" si="1"/>
        <v>803.29385624999998</v>
      </c>
      <c r="X45" s="97">
        <f t="shared" si="2"/>
        <v>236.43</v>
      </c>
      <c r="Y45" s="96">
        <f t="shared" si="2"/>
        <v>1039.7238562499999</v>
      </c>
    </row>
    <row r="47" spans="6:25" x14ac:dyDescent="0.25">
      <c r="T47" s="97"/>
    </row>
    <row r="48" spans="6:25" x14ac:dyDescent="0.25">
      <c r="T48" s="97"/>
    </row>
    <row r="49" spans="6:9" x14ac:dyDescent="0.25">
      <c r="F49" s="145"/>
      <c r="G49" s="145"/>
      <c r="H49" s="145"/>
      <c r="I49" s="145"/>
    </row>
    <row r="50" spans="6:9" x14ac:dyDescent="0.25">
      <c r="F50" s="145"/>
      <c r="G50" s="145"/>
      <c r="H50" s="145"/>
      <c r="I50" s="145"/>
    </row>
    <row r="51" spans="6:9" x14ac:dyDescent="0.25">
      <c r="F51" s="145"/>
      <c r="G51" s="145"/>
      <c r="H51" s="145"/>
      <c r="I51" s="145"/>
    </row>
    <row r="52" spans="6:9" x14ac:dyDescent="0.25">
      <c r="F52" s="145"/>
      <c r="G52" s="145"/>
      <c r="H52" s="145"/>
      <c r="I52" s="145"/>
    </row>
    <row r="53" spans="6:9" x14ac:dyDescent="0.25">
      <c r="F53" s="145"/>
      <c r="G53" s="145"/>
      <c r="H53" s="145"/>
      <c r="I53" s="145"/>
    </row>
    <row r="54" spans="6:9" x14ac:dyDescent="0.25">
      <c r="F54" s="145"/>
      <c r="G54" s="145"/>
      <c r="H54" s="145"/>
      <c r="I54" s="145"/>
    </row>
    <row r="55" spans="6:9" x14ac:dyDescent="0.25">
      <c r="F55" s="145"/>
      <c r="G55" s="145"/>
      <c r="H55" s="145"/>
      <c r="I55" s="145"/>
    </row>
    <row r="56" spans="6:9" x14ac:dyDescent="0.25">
      <c r="F56" s="145"/>
      <c r="G56" s="145"/>
      <c r="H56" s="145"/>
      <c r="I56" s="145"/>
    </row>
    <row r="57" spans="6:9" x14ac:dyDescent="0.25">
      <c r="F57" s="145"/>
      <c r="G57" s="145"/>
      <c r="H57" s="145"/>
      <c r="I57" s="145"/>
    </row>
    <row r="58" spans="6:9" x14ac:dyDescent="0.25">
      <c r="F58" s="145"/>
      <c r="G58" s="145"/>
      <c r="H58" s="145"/>
      <c r="I58" s="145"/>
    </row>
    <row r="59" spans="6:9" x14ac:dyDescent="0.25">
      <c r="F59" s="145"/>
      <c r="G59" s="145"/>
      <c r="H59" s="145"/>
      <c r="I59" s="145"/>
    </row>
    <row r="60" spans="6:9" x14ac:dyDescent="0.25">
      <c r="F60" s="145"/>
      <c r="G60" s="145"/>
      <c r="H60" s="145"/>
      <c r="I60" s="145"/>
    </row>
    <row r="61" spans="6:9" x14ac:dyDescent="0.25">
      <c r="F61" s="145"/>
      <c r="G61" s="145"/>
      <c r="H61" s="145"/>
      <c r="I61" s="145"/>
    </row>
    <row r="62" spans="6:9" ht="15" hidden="1" customHeight="1" x14ac:dyDescent="0.25">
      <c r="F62" s="145"/>
      <c r="G62" s="145"/>
      <c r="H62" s="145"/>
      <c r="I62" s="145"/>
    </row>
    <row r="63" spans="6:9" ht="15" hidden="1" customHeight="1" x14ac:dyDescent="0.25">
      <c r="F63" s="145"/>
      <c r="G63" s="145"/>
      <c r="H63" s="145"/>
      <c r="I63" s="145"/>
    </row>
    <row r="64" spans="6:9" x14ac:dyDescent="0.25">
      <c r="F64" s="145"/>
      <c r="G64" s="145"/>
      <c r="H64" s="145"/>
      <c r="I64" s="145"/>
    </row>
    <row r="65" spans="6:9" x14ac:dyDescent="0.25">
      <c r="F65" s="145"/>
      <c r="G65" s="145"/>
      <c r="H65" s="145"/>
      <c r="I65" s="145"/>
    </row>
    <row r="66" spans="6:9" x14ac:dyDescent="0.25">
      <c r="F66" s="145"/>
      <c r="G66" s="145"/>
      <c r="H66" s="145"/>
      <c r="I66" s="145"/>
    </row>
    <row r="67" spans="6:9" x14ac:dyDescent="0.25">
      <c r="F67" s="145"/>
      <c r="G67" s="145"/>
      <c r="H67" s="145"/>
      <c r="I67" s="145"/>
    </row>
    <row r="68" spans="6:9" x14ac:dyDescent="0.25">
      <c r="F68" s="145"/>
      <c r="G68" s="145"/>
      <c r="H68" s="145"/>
      <c r="I68" s="145"/>
    </row>
  </sheetData>
  <mergeCells count="19">
    <mergeCell ref="A12:D12"/>
    <mergeCell ref="B3:D11"/>
    <mergeCell ref="K2:M3"/>
    <mergeCell ref="O2:Q4"/>
    <mergeCell ref="S2:U4"/>
    <mergeCell ref="S11:U11"/>
    <mergeCell ref="O36:Q36"/>
    <mergeCell ref="W2:Y4"/>
    <mergeCell ref="W11:Y11"/>
    <mergeCell ref="G11:H11"/>
    <mergeCell ref="K11:M11"/>
    <mergeCell ref="O11:Q11"/>
    <mergeCell ref="S36:U36"/>
    <mergeCell ref="W36:Y36"/>
    <mergeCell ref="G1:H1"/>
    <mergeCell ref="G5:H5"/>
    <mergeCell ref="G7:H7"/>
    <mergeCell ref="G37:H37"/>
    <mergeCell ref="F34:I35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4"/>
  <sheetViews>
    <sheetView topLeftCell="F1" workbookViewId="0">
      <selection activeCell="J41" sqref="J41"/>
    </sheetView>
  </sheetViews>
  <sheetFormatPr defaultRowHeight="14.5" x14ac:dyDescent="0.35"/>
  <cols>
    <col min="1" max="1" width="33" customWidth="1"/>
    <col min="2" max="2" width="20.453125" customWidth="1"/>
    <col min="3" max="3" width="15.7265625" customWidth="1"/>
    <col min="4" max="4" width="12.54296875" customWidth="1"/>
    <col min="5" max="5" width="19.1796875" customWidth="1"/>
    <col min="6" max="6" width="16.453125" customWidth="1"/>
    <col min="7" max="7" width="16.7265625" customWidth="1"/>
    <col min="11" max="11" width="22.26953125" customWidth="1"/>
    <col min="12" max="12" width="13.1796875" bestFit="1" customWidth="1"/>
    <col min="13" max="13" width="20" customWidth="1"/>
    <col min="14" max="14" width="20.7265625" customWidth="1"/>
    <col min="15" max="15" width="15.1796875" customWidth="1"/>
    <col min="16" max="16" width="18.453125" customWidth="1"/>
  </cols>
  <sheetData>
    <row r="1" spans="1:19" x14ac:dyDescent="0.35">
      <c r="A1" s="10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x14ac:dyDescent="0.35">
      <c r="A2" s="1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35">
      <c r="A3" s="12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x14ac:dyDescent="0.3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x14ac:dyDescent="0.35">
      <c r="A5" s="340"/>
      <c r="B5" s="340"/>
      <c r="C5" s="340"/>
      <c r="D5" s="340"/>
      <c r="E5" s="340"/>
      <c r="F5" s="340"/>
      <c r="G5" s="340"/>
      <c r="H5" s="9"/>
      <c r="I5" s="9"/>
      <c r="J5" s="9"/>
      <c r="K5" s="341"/>
      <c r="L5" s="341"/>
      <c r="M5" s="341"/>
      <c r="N5" s="341"/>
      <c r="O5" s="341"/>
      <c r="P5" s="341"/>
      <c r="Q5" s="341"/>
      <c r="R5" s="341"/>
      <c r="S5" s="341"/>
    </row>
    <row r="6" spans="1:19" x14ac:dyDescent="0.35">
      <c r="A6" s="340"/>
      <c r="B6" s="340"/>
      <c r="C6" s="340"/>
      <c r="D6" s="340"/>
      <c r="E6" s="340"/>
      <c r="F6" s="340"/>
      <c r="G6" s="340"/>
      <c r="H6" s="9"/>
      <c r="I6" s="9"/>
      <c r="J6" s="9"/>
      <c r="K6" s="341"/>
      <c r="L6" s="341"/>
      <c r="M6" s="341"/>
      <c r="N6" s="341"/>
      <c r="O6" s="341"/>
      <c r="P6" s="341"/>
      <c r="Q6" s="341"/>
      <c r="R6" s="341"/>
      <c r="S6" s="341"/>
    </row>
    <row r="7" spans="1:19" x14ac:dyDescent="0.3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x14ac:dyDescent="0.3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1" customFormat="1" ht="14.25" customHeight="1" x14ac:dyDescent="0.3">
      <c r="A9" s="2"/>
      <c r="B9" s="10"/>
      <c r="C9" s="10"/>
      <c r="D9" s="10"/>
      <c r="E9" s="10"/>
      <c r="F9" s="10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s="1" customFormat="1" ht="17.25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s="1" customFormat="1" ht="17.25" customHeight="1" x14ac:dyDescent="0.3">
      <c r="A11" s="11"/>
      <c r="B11" s="12"/>
      <c r="C11" s="12"/>
      <c r="D11" s="12"/>
      <c r="E11" s="12"/>
      <c r="F11" s="12"/>
      <c r="G11" s="1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s="1" customFormat="1" ht="17.25" customHeight="1" thickBo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8"/>
      <c r="L12" s="28"/>
      <c r="M12" s="28"/>
      <c r="N12" s="28"/>
      <c r="O12" s="28"/>
      <c r="P12" s="2"/>
      <c r="Q12" s="2"/>
      <c r="R12" s="2"/>
      <c r="S12" s="2"/>
    </row>
    <row r="13" spans="1:19" s="15" customFormat="1" ht="29.25" customHeight="1" x14ac:dyDescent="0.3">
      <c r="B13" s="17" t="s">
        <v>37</v>
      </c>
      <c r="C13" s="17" t="s">
        <v>38</v>
      </c>
      <c r="D13" s="17" t="s">
        <v>39</v>
      </c>
      <c r="E13" s="17" t="s">
        <v>40</v>
      </c>
      <c r="F13" s="17" t="s">
        <v>41</v>
      </c>
      <c r="G13" s="18" t="s">
        <v>42</v>
      </c>
      <c r="K13" s="31"/>
      <c r="L13" s="32" t="s">
        <v>38</v>
      </c>
      <c r="M13" s="32" t="s">
        <v>43</v>
      </c>
      <c r="N13" s="32" t="s">
        <v>44</v>
      </c>
      <c r="O13" s="33" t="s">
        <v>45</v>
      </c>
      <c r="P13" s="25"/>
      <c r="Q13" s="16"/>
      <c r="R13" s="16"/>
      <c r="S13" s="16"/>
    </row>
    <row r="14" spans="1:19" s="3" customFormat="1" ht="14.25" customHeight="1" x14ac:dyDescent="0.3">
      <c r="A14" s="72" t="s">
        <v>46</v>
      </c>
      <c r="B14" s="19">
        <v>79070</v>
      </c>
      <c r="C14" s="19">
        <v>248450</v>
      </c>
      <c r="D14" s="19">
        <v>400830</v>
      </c>
      <c r="E14" s="19">
        <v>365750</v>
      </c>
      <c r="F14" s="19">
        <v>122190</v>
      </c>
      <c r="G14" s="19">
        <v>1216280</v>
      </c>
      <c r="K14" s="34" t="s">
        <v>46</v>
      </c>
      <c r="L14" s="20">
        <f>C14/G14</f>
        <v>0.20427039826355772</v>
      </c>
      <c r="M14" s="20">
        <f>D14/G14</f>
        <v>0.3295540500542638</v>
      </c>
      <c r="N14" s="20">
        <f>E14/G14</f>
        <v>0.30071200710362744</v>
      </c>
      <c r="O14" s="35">
        <f>(F14+B14)/G14</f>
        <v>0.16547176636958594</v>
      </c>
      <c r="P14" s="26"/>
      <c r="Q14" s="7"/>
      <c r="R14" s="7"/>
      <c r="S14" s="7"/>
    </row>
    <row r="15" spans="1:19" s="22" customFormat="1" ht="14.25" customHeight="1" x14ac:dyDescent="0.3">
      <c r="A15" s="73" t="s">
        <v>25</v>
      </c>
      <c r="B15" s="21">
        <v>11660</v>
      </c>
      <c r="C15" s="21">
        <v>17690</v>
      </c>
      <c r="D15" s="21">
        <v>45820</v>
      </c>
      <c r="E15" s="21">
        <v>33300</v>
      </c>
      <c r="F15" s="21">
        <v>14450</v>
      </c>
      <c r="G15" s="21">
        <v>122910</v>
      </c>
      <c r="K15" s="36" t="s">
        <v>25</v>
      </c>
      <c r="L15" s="23">
        <f t="shared" ref="L15:L24" si="0">C15/G15</f>
        <v>0.14392645024814904</v>
      </c>
      <c r="M15" s="23">
        <f t="shared" ref="M15:M24" si="1">D15/G15</f>
        <v>0.37279310064274673</v>
      </c>
      <c r="N15" s="23">
        <f t="shared" ref="N15:N24" si="2">E15/G15</f>
        <v>0.27092994874298265</v>
      </c>
      <c r="O15" s="35">
        <f t="shared" ref="O15:O24" si="3">(F15+B15)/G15</f>
        <v>0.21243186071108941</v>
      </c>
      <c r="P15" s="27"/>
      <c r="Q15" s="24"/>
      <c r="R15" s="24"/>
      <c r="S15" s="24"/>
    </row>
    <row r="16" spans="1:19" s="3" customFormat="1" ht="14.25" customHeight="1" x14ac:dyDescent="0.3">
      <c r="A16" s="74" t="s">
        <v>27</v>
      </c>
      <c r="B16" s="19">
        <v>6850</v>
      </c>
      <c r="C16" s="19">
        <v>12420</v>
      </c>
      <c r="D16" s="19">
        <v>26170</v>
      </c>
      <c r="E16" s="19">
        <v>26340</v>
      </c>
      <c r="F16" s="19">
        <v>11520</v>
      </c>
      <c r="G16" s="19">
        <v>83300</v>
      </c>
      <c r="K16" s="34" t="s">
        <v>27</v>
      </c>
      <c r="L16" s="20">
        <f t="shared" si="0"/>
        <v>0.14909963985594238</v>
      </c>
      <c r="M16" s="20">
        <f t="shared" si="1"/>
        <v>0.3141656662665066</v>
      </c>
      <c r="N16" s="20">
        <f t="shared" si="2"/>
        <v>0.31620648259303724</v>
      </c>
      <c r="O16" s="35">
        <f t="shared" si="3"/>
        <v>0.2205282112845138</v>
      </c>
      <c r="P16" s="26"/>
      <c r="Q16" s="7"/>
      <c r="R16" s="7"/>
      <c r="S16" s="7"/>
    </row>
    <row r="17" spans="1:19" s="22" customFormat="1" ht="14.25" customHeight="1" x14ac:dyDescent="0.3">
      <c r="A17" s="73" t="s">
        <v>28</v>
      </c>
      <c r="B17" s="21">
        <v>2840</v>
      </c>
      <c r="C17" s="21">
        <v>85200</v>
      </c>
      <c r="D17" s="21">
        <v>79950</v>
      </c>
      <c r="E17" s="21">
        <v>55550</v>
      </c>
      <c r="F17" s="21">
        <v>6150</v>
      </c>
      <c r="G17" s="21">
        <v>229680</v>
      </c>
      <c r="K17" s="36" t="s">
        <v>28</v>
      </c>
      <c r="L17" s="23">
        <f t="shared" si="0"/>
        <v>0.37095088819226751</v>
      </c>
      <c r="M17" s="23">
        <f t="shared" si="1"/>
        <v>0.3480929989550679</v>
      </c>
      <c r="N17" s="23">
        <f t="shared" si="2"/>
        <v>0.24185823754789271</v>
      </c>
      <c r="O17" s="35">
        <f t="shared" si="3"/>
        <v>3.9141414141414144E-2</v>
      </c>
      <c r="P17" s="27"/>
      <c r="Q17" s="24"/>
      <c r="R17" s="24"/>
      <c r="S17" s="24"/>
    </row>
    <row r="18" spans="1:19" s="3" customFormat="1" ht="14.25" customHeight="1" x14ac:dyDescent="0.3">
      <c r="A18" s="74" t="s">
        <v>29</v>
      </c>
      <c r="B18" s="19">
        <v>9560</v>
      </c>
      <c r="C18" s="19">
        <v>12330</v>
      </c>
      <c r="D18" s="19">
        <v>42390</v>
      </c>
      <c r="E18" s="19">
        <v>23400</v>
      </c>
      <c r="F18" s="19">
        <v>8020</v>
      </c>
      <c r="G18" s="19">
        <v>95710</v>
      </c>
      <c r="K18" s="34" t="s">
        <v>29</v>
      </c>
      <c r="L18" s="20">
        <f t="shared" si="0"/>
        <v>0.12882666388047226</v>
      </c>
      <c r="M18" s="20">
        <f t="shared" si="1"/>
        <v>0.44290042837739002</v>
      </c>
      <c r="N18" s="20">
        <f t="shared" si="2"/>
        <v>0.24448855918921744</v>
      </c>
      <c r="O18" s="35">
        <f t="shared" si="3"/>
        <v>0.18367986626266847</v>
      </c>
      <c r="P18" s="26"/>
      <c r="Q18" s="7"/>
      <c r="R18" s="7"/>
      <c r="S18" s="7"/>
    </row>
    <row r="19" spans="1:19" s="22" customFormat="1" ht="14.25" customHeight="1" x14ac:dyDescent="0.3">
      <c r="A19" s="73" t="s">
        <v>30</v>
      </c>
      <c r="B19" s="21">
        <v>6920</v>
      </c>
      <c r="C19" s="21">
        <v>13330</v>
      </c>
      <c r="D19" s="21">
        <v>36860</v>
      </c>
      <c r="E19" s="21">
        <v>25550</v>
      </c>
      <c r="F19" s="21">
        <v>11170</v>
      </c>
      <c r="G19" s="21">
        <v>93820</v>
      </c>
      <c r="K19" s="36" t="s">
        <v>30</v>
      </c>
      <c r="L19" s="23">
        <f t="shared" si="0"/>
        <v>0.14208057983372416</v>
      </c>
      <c r="M19" s="23">
        <f t="shared" si="1"/>
        <v>0.39287998294606696</v>
      </c>
      <c r="N19" s="23">
        <f t="shared" si="2"/>
        <v>0.27232999360477511</v>
      </c>
      <c r="O19" s="35">
        <f t="shared" si="3"/>
        <v>0.1928160306970795</v>
      </c>
      <c r="P19" s="27"/>
      <c r="Q19" s="24"/>
      <c r="R19" s="24"/>
      <c r="S19" s="24"/>
    </row>
    <row r="20" spans="1:19" s="3" customFormat="1" ht="14.25" customHeight="1" x14ac:dyDescent="0.3">
      <c r="A20" s="74" t="s">
        <v>31</v>
      </c>
      <c r="B20" s="19">
        <v>4620</v>
      </c>
      <c r="C20" s="19">
        <v>35930</v>
      </c>
      <c r="D20" s="19">
        <v>36080</v>
      </c>
      <c r="E20" s="19">
        <v>32520</v>
      </c>
      <c r="F20" s="19">
        <v>7950</v>
      </c>
      <c r="G20" s="19">
        <v>117090</v>
      </c>
      <c r="K20" s="34" t="s">
        <v>31</v>
      </c>
      <c r="L20" s="20">
        <f t="shared" si="0"/>
        <v>0.30685797249978647</v>
      </c>
      <c r="M20" s="20">
        <f t="shared" si="1"/>
        <v>0.30813903834657103</v>
      </c>
      <c r="N20" s="20">
        <f t="shared" si="2"/>
        <v>0.27773507558288496</v>
      </c>
      <c r="O20" s="35">
        <f t="shared" si="3"/>
        <v>0.10735331796054318</v>
      </c>
      <c r="P20" s="26"/>
      <c r="Q20" s="7"/>
      <c r="R20" s="7"/>
      <c r="S20" s="7"/>
    </row>
    <row r="21" spans="1:19" s="22" customFormat="1" ht="14.25" customHeight="1" x14ac:dyDescent="0.3">
      <c r="A21" s="73" t="s">
        <v>32</v>
      </c>
      <c r="B21" s="21">
        <v>9320</v>
      </c>
      <c r="C21" s="21">
        <v>20960</v>
      </c>
      <c r="D21" s="21">
        <v>29880</v>
      </c>
      <c r="E21" s="21">
        <v>47220</v>
      </c>
      <c r="F21" s="21">
        <v>21180</v>
      </c>
      <c r="G21" s="21">
        <v>128560</v>
      </c>
      <c r="K21" s="36" t="s">
        <v>32</v>
      </c>
      <c r="L21" s="23">
        <f t="shared" si="0"/>
        <v>0.16303671437461106</v>
      </c>
      <c r="M21" s="23">
        <f t="shared" si="1"/>
        <v>0.23242065961418792</v>
      </c>
      <c r="N21" s="23">
        <f t="shared" si="2"/>
        <v>0.36729931549471062</v>
      </c>
      <c r="O21" s="35">
        <f t="shared" si="3"/>
        <v>0.23724331051649036</v>
      </c>
      <c r="P21" s="27"/>
      <c r="Q21" s="24"/>
      <c r="R21" s="24"/>
      <c r="S21" s="24"/>
    </row>
    <row r="22" spans="1:19" s="3" customFormat="1" ht="14.25" customHeight="1" x14ac:dyDescent="0.3">
      <c r="A22" s="74" t="s">
        <v>33</v>
      </c>
      <c r="B22" s="19">
        <v>7060</v>
      </c>
      <c r="C22" s="19">
        <v>15640</v>
      </c>
      <c r="D22" s="19">
        <v>39610</v>
      </c>
      <c r="E22" s="19">
        <v>30330</v>
      </c>
      <c r="F22" s="19">
        <v>8650</v>
      </c>
      <c r="G22" s="19">
        <v>101290</v>
      </c>
      <c r="K22" s="34" t="s">
        <v>33</v>
      </c>
      <c r="L22" s="20">
        <f t="shared" si="0"/>
        <v>0.15440813505775497</v>
      </c>
      <c r="M22" s="20">
        <f t="shared" si="1"/>
        <v>0.39105538552670549</v>
      </c>
      <c r="N22" s="20">
        <f t="shared" si="2"/>
        <v>0.29943725935432913</v>
      </c>
      <c r="O22" s="35">
        <f t="shared" si="3"/>
        <v>0.15509922006121038</v>
      </c>
      <c r="P22" s="26"/>
      <c r="Q22" s="7"/>
      <c r="R22" s="7"/>
      <c r="S22" s="7"/>
    </row>
    <row r="23" spans="1:19" s="22" customFormat="1" ht="14.25" customHeight="1" x14ac:dyDescent="0.3">
      <c r="A23" s="73" t="s">
        <v>34</v>
      </c>
      <c r="B23" s="21">
        <v>3630</v>
      </c>
      <c r="C23" s="21">
        <v>21030</v>
      </c>
      <c r="D23" s="21">
        <v>22370</v>
      </c>
      <c r="E23" s="21">
        <v>39810</v>
      </c>
      <c r="F23" s="21">
        <v>12860</v>
      </c>
      <c r="G23" s="21">
        <v>99690</v>
      </c>
      <c r="K23" s="36" t="s">
        <v>34</v>
      </c>
      <c r="L23" s="23">
        <f>C23/G23</f>
        <v>0.21095395726752933</v>
      </c>
      <c r="M23" s="23">
        <f>D23/G23</f>
        <v>0.22439562644197011</v>
      </c>
      <c r="N23" s="23">
        <f>E23/G23</f>
        <v>0.39933794763767677</v>
      </c>
      <c r="O23" s="35">
        <f t="shared" si="3"/>
        <v>0.16541277961681211</v>
      </c>
      <c r="P23" s="27"/>
      <c r="Q23" s="24"/>
      <c r="R23" s="24"/>
      <c r="S23" s="24"/>
    </row>
    <row r="24" spans="1:19" s="3" customFormat="1" ht="14.25" customHeight="1" thickBot="1" x14ac:dyDescent="0.35">
      <c r="A24" s="74" t="s">
        <v>35</v>
      </c>
      <c r="B24" s="19">
        <v>16620</v>
      </c>
      <c r="C24" s="19">
        <v>13920</v>
      </c>
      <c r="D24" s="19">
        <v>41710</v>
      </c>
      <c r="E24" s="19">
        <v>51740</v>
      </c>
      <c r="F24" s="19">
        <v>20240</v>
      </c>
      <c r="G24" s="19">
        <v>144230</v>
      </c>
      <c r="K24" s="37" t="s">
        <v>35</v>
      </c>
      <c r="L24" s="67">
        <f t="shared" si="0"/>
        <v>9.6512514733411908E-2</v>
      </c>
      <c r="M24" s="67">
        <f t="shared" si="1"/>
        <v>0.28919087568467033</v>
      </c>
      <c r="N24" s="67">
        <f t="shared" si="2"/>
        <v>0.35873257990709284</v>
      </c>
      <c r="O24" s="35">
        <f t="shared" si="3"/>
        <v>0.25556402967482494</v>
      </c>
      <c r="P24" s="26"/>
      <c r="Q24" s="7"/>
      <c r="R24" s="7"/>
      <c r="S24" s="7"/>
    </row>
    <row r="25" spans="1:19" s="3" customFormat="1" ht="14.25" customHeight="1" x14ac:dyDescent="0.3">
      <c r="A25" s="4"/>
      <c r="B25" s="5"/>
      <c r="C25" s="5"/>
      <c r="D25" s="5"/>
      <c r="E25" s="5"/>
      <c r="F25" s="6"/>
      <c r="G25" s="5"/>
      <c r="K25" s="29"/>
      <c r="L25" s="30"/>
      <c r="M25" s="30"/>
      <c r="N25" s="30"/>
      <c r="O25" s="30"/>
      <c r="P25" s="7"/>
      <c r="Q25" s="7"/>
      <c r="R25" s="7"/>
      <c r="S25" s="7"/>
    </row>
    <row r="26" spans="1:19" s="3" customFormat="1" ht="14.25" customHeight="1" x14ac:dyDescent="0.3">
      <c r="A26" s="4"/>
      <c r="B26" s="5"/>
      <c r="C26" s="5"/>
      <c r="D26" s="5"/>
      <c r="E26" s="5"/>
      <c r="F26" s="6"/>
      <c r="G26" s="5"/>
      <c r="K26" s="8"/>
      <c r="L26" s="7"/>
      <c r="M26" s="7"/>
      <c r="N26" s="7"/>
      <c r="O26" s="7"/>
      <c r="P26" s="7"/>
      <c r="Q26" s="7"/>
      <c r="R26" s="7"/>
      <c r="S26" s="7"/>
    </row>
    <row r="27" spans="1:19" s="3" customFormat="1" ht="14.25" customHeight="1" x14ac:dyDescent="0.3">
      <c r="A27" s="4"/>
      <c r="B27" s="5"/>
      <c r="C27" s="6"/>
      <c r="D27" s="5"/>
      <c r="E27" s="5"/>
      <c r="F27" s="5"/>
      <c r="G27" s="5"/>
      <c r="K27" s="8"/>
      <c r="L27" s="7"/>
      <c r="M27" s="7"/>
      <c r="N27" s="7"/>
      <c r="O27" s="7"/>
      <c r="P27" s="7"/>
      <c r="Q27" s="7"/>
      <c r="R27" s="7"/>
      <c r="S27" s="7"/>
    </row>
    <row r="28" spans="1:19" s="3" customFormat="1" ht="14.25" customHeight="1" x14ac:dyDescent="0.3">
      <c r="A28" s="4"/>
      <c r="B28" s="5"/>
      <c r="C28" s="6"/>
      <c r="D28" s="6"/>
      <c r="E28" s="5"/>
      <c r="F28" s="5"/>
      <c r="G28" s="5"/>
      <c r="K28" s="8"/>
      <c r="L28" s="7"/>
      <c r="M28" s="7"/>
      <c r="N28" s="7"/>
      <c r="O28" s="7"/>
      <c r="P28" s="7"/>
      <c r="Q28" s="7"/>
      <c r="R28" s="7"/>
      <c r="S28" s="7"/>
    </row>
    <row r="30" spans="1:19" ht="15" thickBot="1" x14ac:dyDescent="0.4"/>
    <row r="31" spans="1:19" x14ac:dyDescent="0.35">
      <c r="A31" s="40"/>
      <c r="B31" s="41" t="s">
        <v>46</v>
      </c>
      <c r="C31" s="41" t="s">
        <v>25</v>
      </c>
      <c r="D31" s="41" t="s">
        <v>27</v>
      </c>
      <c r="E31" s="41" t="s">
        <v>28</v>
      </c>
      <c r="F31" s="41" t="s">
        <v>29</v>
      </c>
      <c r="G31" s="41" t="s">
        <v>30</v>
      </c>
      <c r="H31" s="41" t="s">
        <v>31</v>
      </c>
      <c r="I31" s="41" t="s">
        <v>32</v>
      </c>
      <c r="J31" s="41" t="s">
        <v>33</v>
      </c>
      <c r="K31" s="41" t="s">
        <v>34</v>
      </c>
      <c r="L31" s="42" t="s">
        <v>35</v>
      </c>
    </row>
    <row r="32" spans="1:19" ht="15" thickBot="1" x14ac:dyDescent="0.4">
      <c r="A32" s="43" t="s">
        <v>45</v>
      </c>
      <c r="B32" s="69">
        <v>0.16547176636958594</v>
      </c>
      <c r="C32" s="69">
        <v>0.21243186071108941</v>
      </c>
      <c r="D32" s="69">
        <v>0.2205282112845138</v>
      </c>
      <c r="E32" s="69">
        <v>3.9141414141414144E-2</v>
      </c>
      <c r="F32" s="69">
        <v>0.18367986626266847</v>
      </c>
      <c r="G32" s="69">
        <v>0.1928160306970795</v>
      </c>
      <c r="H32" s="69">
        <v>0.10735331796054318</v>
      </c>
      <c r="I32" s="69">
        <v>0.23724331051649036</v>
      </c>
      <c r="J32" s="69">
        <v>0.15509922006121038</v>
      </c>
      <c r="K32" s="69">
        <v>0.16541277961681211</v>
      </c>
      <c r="L32" s="69">
        <v>0.25556402967482494</v>
      </c>
    </row>
    <row r="33" spans="1:12" x14ac:dyDescent="0.35">
      <c r="A33" s="44" t="s">
        <v>44</v>
      </c>
      <c r="B33" s="69">
        <v>0.30071200710362744</v>
      </c>
      <c r="C33" s="69">
        <v>0.27092994874298265</v>
      </c>
      <c r="D33" s="69">
        <v>0.31620648259303724</v>
      </c>
      <c r="E33" s="69">
        <v>0.24185823754789271</v>
      </c>
      <c r="F33" s="69">
        <v>0.24448855918921744</v>
      </c>
      <c r="G33" s="69">
        <v>0.27232999360477511</v>
      </c>
      <c r="H33" s="69">
        <v>0.27773507558288496</v>
      </c>
      <c r="I33" s="69">
        <v>0.36729931549471062</v>
      </c>
      <c r="J33" s="69">
        <v>0.29943725935432913</v>
      </c>
      <c r="K33" s="69">
        <v>0.39933794763767677</v>
      </c>
      <c r="L33" s="69">
        <v>0.35873257990709284</v>
      </c>
    </row>
    <row r="34" spans="1:12" x14ac:dyDescent="0.35">
      <c r="A34" s="44" t="s">
        <v>43</v>
      </c>
      <c r="B34" s="69">
        <v>0.3295540500542638</v>
      </c>
      <c r="C34" s="69">
        <v>0.37279310064274673</v>
      </c>
      <c r="D34" s="69">
        <v>0.3141656662665066</v>
      </c>
      <c r="E34" s="69">
        <v>0.3480929989550679</v>
      </c>
      <c r="F34" s="69">
        <v>0.44290042837739002</v>
      </c>
      <c r="G34" s="69">
        <v>0.39287998294606696</v>
      </c>
      <c r="H34" s="69">
        <v>0.30813903834657103</v>
      </c>
      <c r="I34" s="69">
        <v>0.23242065961418792</v>
      </c>
      <c r="J34" s="69">
        <v>0.39105538552670549</v>
      </c>
      <c r="K34" s="69">
        <v>0.22439562644197011</v>
      </c>
      <c r="L34" s="69">
        <v>0.28919087568467033</v>
      </c>
    </row>
    <row r="35" spans="1:12" x14ac:dyDescent="0.35">
      <c r="A35" s="44" t="s">
        <v>38</v>
      </c>
      <c r="B35" s="69">
        <v>0.20427039826355772</v>
      </c>
      <c r="C35" s="69">
        <v>0.14392645024814904</v>
      </c>
      <c r="D35" s="69">
        <v>0.14909963985594238</v>
      </c>
      <c r="E35" s="69">
        <v>0.37095088819226751</v>
      </c>
      <c r="F35" s="69">
        <v>0.12882666388047226</v>
      </c>
      <c r="G35" s="69">
        <v>0.14208057983372416</v>
      </c>
      <c r="H35" s="69">
        <v>0.30685797249978647</v>
      </c>
      <c r="I35" s="69">
        <v>0.16303671437461106</v>
      </c>
      <c r="J35" s="69">
        <v>0.15440813505775497</v>
      </c>
      <c r="K35" s="69">
        <v>0.21095395726752933</v>
      </c>
      <c r="L35" s="69">
        <v>9.6512514733411908E-2</v>
      </c>
    </row>
    <row r="41" spans="1:12" x14ac:dyDescent="0.35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</row>
    <row r="42" spans="1:12" x14ac:dyDescent="0.35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1:12" x14ac:dyDescent="0.35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</row>
    <row r="44" spans="1:12" x14ac:dyDescent="0.35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</row>
  </sheetData>
  <mergeCells count="2">
    <mergeCell ref="A5:G6"/>
    <mergeCell ref="K5:S6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63"/>
  <sheetViews>
    <sheetView topLeftCell="A30" zoomScaleNormal="100" workbookViewId="0">
      <selection activeCell="L6" sqref="L6"/>
    </sheetView>
  </sheetViews>
  <sheetFormatPr defaultColWidth="9.1796875" defaultRowHeight="14.5" x14ac:dyDescent="0.35"/>
  <cols>
    <col min="1" max="2" width="13.26953125" style="38" customWidth="1"/>
    <col min="3" max="5" width="9.1796875" style="38"/>
    <col min="6" max="6" width="9.1796875" style="38" customWidth="1"/>
    <col min="7" max="8" width="9.1796875" style="38"/>
    <col min="9" max="9" width="9.1796875" style="315"/>
    <col min="10" max="11" width="9.1796875" style="38"/>
    <col min="12" max="12" width="9.1796875" style="305"/>
    <col min="13" max="21" width="9.1796875" style="38"/>
    <col min="22" max="22" width="21.1796875" style="47" bestFit="1" customWidth="1"/>
    <col min="23" max="16384" width="9.1796875" style="38"/>
  </cols>
  <sheetData>
    <row r="1" spans="1:26" x14ac:dyDescent="0.35">
      <c r="A1" s="45"/>
      <c r="B1" s="45"/>
      <c r="W1" s="45"/>
    </row>
    <row r="2" spans="1:26" x14ac:dyDescent="0.35">
      <c r="W2" s="45"/>
    </row>
    <row r="3" spans="1:26" x14ac:dyDescent="0.35">
      <c r="A3" s="55" t="s">
        <v>0</v>
      </c>
      <c r="B3" s="56"/>
      <c r="C3" s="57" t="s">
        <v>1</v>
      </c>
      <c r="D3" s="57" t="s">
        <v>2</v>
      </c>
      <c r="E3" s="58" t="s">
        <v>3</v>
      </c>
      <c r="F3" s="58" t="s">
        <v>4</v>
      </c>
      <c r="G3" s="58" t="s">
        <v>5</v>
      </c>
      <c r="H3" s="58" t="s">
        <v>6</v>
      </c>
      <c r="I3" s="58" t="s">
        <v>7</v>
      </c>
      <c r="J3" s="58" t="s">
        <v>8</v>
      </c>
      <c r="K3" s="58" t="s">
        <v>9</v>
      </c>
      <c r="L3" s="320" t="s">
        <v>10</v>
      </c>
      <c r="M3" s="58" t="s">
        <v>11</v>
      </c>
      <c r="N3" s="58" t="s">
        <v>12</v>
      </c>
      <c r="O3" s="58" t="s">
        <v>13</v>
      </c>
      <c r="P3" s="58" t="s">
        <v>14</v>
      </c>
      <c r="Q3" s="58" t="s">
        <v>15</v>
      </c>
      <c r="R3" s="58" t="s">
        <v>16</v>
      </c>
      <c r="S3" s="59" t="s">
        <v>17</v>
      </c>
      <c r="T3" s="48" t="s">
        <v>23</v>
      </c>
      <c r="U3" s="48" t="s">
        <v>24</v>
      </c>
      <c r="V3" s="64" t="s">
        <v>18</v>
      </c>
    </row>
    <row r="4" spans="1:26" ht="29" x14ac:dyDescent="0.35">
      <c r="A4" s="39" t="s">
        <v>19</v>
      </c>
      <c r="B4" s="39" t="s">
        <v>47</v>
      </c>
      <c r="C4" s="60"/>
      <c r="D4" s="60"/>
      <c r="E4" s="48"/>
      <c r="F4" s="48"/>
      <c r="G4" s="48"/>
      <c r="H4" s="48"/>
      <c r="I4" s="48"/>
      <c r="J4" s="48"/>
      <c r="K4" s="48"/>
      <c r="L4" s="321"/>
      <c r="M4" s="48"/>
      <c r="N4" s="48"/>
      <c r="O4" s="48"/>
      <c r="P4" s="48"/>
      <c r="Q4" s="48"/>
      <c r="R4" s="48"/>
      <c r="S4" s="48"/>
      <c r="V4" s="65"/>
    </row>
    <row r="5" spans="1:26" x14ac:dyDescent="0.35">
      <c r="A5" s="45" t="s">
        <v>25</v>
      </c>
      <c r="B5" s="61"/>
      <c r="C5" s="51">
        <v>726</v>
      </c>
      <c r="D5" s="51">
        <v>726</v>
      </c>
      <c r="E5" s="51">
        <v>726</v>
      </c>
      <c r="F5" s="51">
        <v>726</v>
      </c>
      <c r="G5" s="51">
        <v>726</v>
      </c>
      <c r="H5" s="51">
        <v>726</v>
      </c>
      <c r="I5" s="323">
        <v>726</v>
      </c>
      <c r="J5" s="51">
        <v>726</v>
      </c>
      <c r="K5" s="51">
        <v>726</v>
      </c>
      <c r="L5" s="322">
        <v>726</v>
      </c>
      <c r="M5" s="51">
        <v>726</v>
      </c>
      <c r="N5" s="51">
        <v>726</v>
      </c>
      <c r="O5" s="51">
        <v>726</v>
      </c>
      <c r="P5" s="51">
        <v>726</v>
      </c>
      <c r="Q5" s="51">
        <v>726</v>
      </c>
      <c r="R5" s="51">
        <v>726</v>
      </c>
      <c r="S5" s="51">
        <v>726</v>
      </c>
      <c r="T5" s="51">
        <v>726</v>
      </c>
      <c r="U5" s="51">
        <v>726</v>
      </c>
      <c r="V5" s="54">
        <v>13800</v>
      </c>
    </row>
    <row r="6" spans="1:26" x14ac:dyDescent="0.35">
      <c r="A6" s="62" t="s">
        <v>20</v>
      </c>
      <c r="B6" s="69">
        <v>0.21243186071108899</v>
      </c>
      <c r="C6" s="52">
        <f>C5*$B$6</f>
        <v>154.22553087625062</v>
      </c>
      <c r="D6" s="52">
        <f t="shared" ref="D6:U6" si="0">D5*$B$6</f>
        <v>154.22553087625062</v>
      </c>
      <c r="E6" s="52">
        <f t="shared" si="0"/>
        <v>154.22553087625062</v>
      </c>
      <c r="F6" s="52">
        <f t="shared" si="0"/>
        <v>154.22553087625062</v>
      </c>
      <c r="G6" s="52">
        <f t="shared" si="0"/>
        <v>154.22553087625062</v>
      </c>
      <c r="H6" s="52">
        <f t="shared" si="0"/>
        <v>154.22553087625062</v>
      </c>
      <c r="I6" s="313">
        <f t="shared" si="0"/>
        <v>154.22553087625062</v>
      </c>
      <c r="J6" s="52">
        <f t="shared" si="0"/>
        <v>154.22553087625062</v>
      </c>
      <c r="K6" s="52">
        <f t="shared" si="0"/>
        <v>154.22553087625062</v>
      </c>
      <c r="L6" s="304">
        <f t="shared" si="0"/>
        <v>154.22553087625062</v>
      </c>
      <c r="M6" s="52">
        <f t="shared" si="0"/>
        <v>154.22553087625062</v>
      </c>
      <c r="N6" s="52">
        <f t="shared" si="0"/>
        <v>154.22553087625062</v>
      </c>
      <c r="O6" s="52">
        <f t="shared" si="0"/>
        <v>154.22553087625062</v>
      </c>
      <c r="P6" s="52">
        <f t="shared" si="0"/>
        <v>154.22553087625062</v>
      </c>
      <c r="Q6" s="52">
        <f t="shared" si="0"/>
        <v>154.22553087625062</v>
      </c>
      <c r="R6" s="52">
        <f t="shared" si="0"/>
        <v>154.22553087625062</v>
      </c>
      <c r="S6" s="52">
        <f t="shared" si="0"/>
        <v>154.22553087625062</v>
      </c>
      <c r="T6" s="52">
        <f t="shared" si="0"/>
        <v>154.22553087625062</v>
      </c>
      <c r="U6" s="52">
        <f t="shared" si="0"/>
        <v>154.22553087625062</v>
      </c>
      <c r="V6" s="52">
        <f t="shared" ref="V6" si="1">V5*0.212431860711089</f>
        <v>2931.559677813028</v>
      </c>
      <c r="W6" s="66"/>
      <c r="Z6" s="46"/>
    </row>
    <row r="7" spans="1:26" x14ac:dyDescent="0.35">
      <c r="A7" s="62" t="s">
        <v>21</v>
      </c>
      <c r="B7" s="69">
        <v>0.27092994874298298</v>
      </c>
      <c r="C7" s="52">
        <f>C5*$B$7</f>
        <v>196.69514278740564</v>
      </c>
      <c r="D7" s="52">
        <f t="shared" ref="D7:U7" si="2">D5*$B$7</f>
        <v>196.69514278740564</v>
      </c>
      <c r="E7" s="52">
        <f t="shared" si="2"/>
        <v>196.69514278740564</v>
      </c>
      <c r="F7" s="52">
        <f t="shared" si="2"/>
        <v>196.69514278740564</v>
      </c>
      <c r="G7" s="52">
        <f t="shared" si="2"/>
        <v>196.69514278740564</v>
      </c>
      <c r="H7" s="52">
        <f t="shared" si="2"/>
        <v>196.69514278740564</v>
      </c>
      <c r="I7" s="313">
        <f t="shared" si="2"/>
        <v>196.69514278740564</v>
      </c>
      <c r="J7" s="52">
        <f t="shared" si="2"/>
        <v>196.69514278740564</v>
      </c>
      <c r="K7" s="52">
        <f t="shared" si="2"/>
        <v>196.69514278740564</v>
      </c>
      <c r="L7" s="304">
        <f t="shared" si="2"/>
        <v>196.69514278740564</v>
      </c>
      <c r="M7" s="52">
        <f t="shared" si="2"/>
        <v>196.69514278740564</v>
      </c>
      <c r="N7" s="52">
        <f t="shared" si="2"/>
        <v>196.69514278740564</v>
      </c>
      <c r="O7" s="52">
        <f t="shared" si="2"/>
        <v>196.69514278740564</v>
      </c>
      <c r="P7" s="52">
        <f t="shared" si="2"/>
        <v>196.69514278740564</v>
      </c>
      <c r="Q7" s="52">
        <f t="shared" si="2"/>
        <v>196.69514278740564</v>
      </c>
      <c r="R7" s="52">
        <f t="shared" si="2"/>
        <v>196.69514278740564</v>
      </c>
      <c r="S7" s="52">
        <f t="shared" si="2"/>
        <v>196.69514278740564</v>
      </c>
      <c r="T7" s="52">
        <f t="shared" si="2"/>
        <v>196.69514278740564</v>
      </c>
      <c r="U7" s="52">
        <f t="shared" si="2"/>
        <v>196.69514278740564</v>
      </c>
      <c r="V7" s="52">
        <f t="shared" ref="V7" si="3">V5*0.270929948742983</f>
        <v>3738.8332926531652</v>
      </c>
      <c r="W7" s="66"/>
    </row>
    <row r="8" spans="1:26" x14ac:dyDescent="0.35">
      <c r="A8" s="62" t="s">
        <v>26</v>
      </c>
      <c r="B8" s="69">
        <v>0.37279310064274701</v>
      </c>
      <c r="C8" s="52">
        <f>C5*$B$8</f>
        <v>270.64779106663434</v>
      </c>
      <c r="D8" s="52">
        <f t="shared" ref="D8:U8" si="4">D5*$B$8</f>
        <v>270.64779106663434</v>
      </c>
      <c r="E8" s="52">
        <f t="shared" si="4"/>
        <v>270.64779106663434</v>
      </c>
      <c r="F8" s="52">
        <f t="shared" si="4"/>
        <v>270.64779106663434</v>
      </c>
      <c r="G8" s="52">
        <f t="shared" si="4"/>
        <v>270.64779106663434</v>
      </c>
      <c r="H8" s="52">
        <f t="shared" si="4"/>
        <v>270.64779106663434</v>
      </c>
      <c r="I8" s="313">
        <f t="shared" si="4"/>
        <v>270.64779106663434</v>
      </c>
      <c r="J8" s="52">
        <f t="shared" si="4"/>
        <v>270.64779106663434</v>
      </c>
      <c r="K8" s="52">
        <f t="shared" si="4"/>
        <v>270.64779106663434</v>
      </c>
      <c r="L8" s="304">
        <f t="shared" si="4"/>
        <v>270.64779106663434</v>
      </c>
      <c r="M8" s="52">
        <f t="shared" si="4"/>
        <v>270.64779106663434</v>
      </c>
      <c r="N8" s="52">
        <f t="shared" si="4"/>
        <v>270.64779106663434</v>
      </c>
      <c r="O8" s="52">
        <f t="shared" si="4"/>
        <v>270.64779106663434</v>
      </c>
      <c r="P8" s="52">
        <f t="shared" si="4"/>
        <v>270.64779106663434</v>
      </c>
      <c r="Q8" s="52">
        <f t="shared" si="4"/>
        <v>270.64779106663434</v>
      </c>
      <c r="R8" s="52">
        <f t="shared" si="4"/>
        <v>270.64779106663434</v>
      </c>
      <c r="S8" s="52">
        <f t="shared" si="4"/>
        <v>270.64779106663434</v>
      </c>
      <c r="T8" s="52">
        <f t="shared" si="4"/>
        <v>270.64779106663434</v>
      </c>
      <c r="U8" s="52">
        <f t="shared" si="4"/>
        <v>270.64779106663434</v>
      </c>
      <c r="V8" s="52">
        <f t="shared" ref="V8" si="5">V5*0.372793100642747</f>
        <v>5144.5447888699091</v>
      </c>
      <c r="W8" s="66"/>
    </row>
    <row r="9" spans="1:26" x14ac:dyDescent="0.35">
      <c r="A9" s="62" t="s">
        <v>22</v>
      </c>
      <c r="B9" s="69">
        <v>0.14392645024814901</v>
      </c>
      <c r="C9" s="52">
        <f>C5*$B$9</f>
        <v>104.49060288015619</v>
      </c>
      <c r="D9" s="52">
        <f t="shared" ref="D9:U9" si="6">D5*$B$9</f>
        <v>104.49060288015619</v>
      </c>
      <c r="E9" s="52">
        <f t="shared" si="6"/>
        <v>104.49060288015619</v>
      </c>
      <c r="F9" s="52">
        <f t="shared" si="6"/>
        <v>104.49060288015619</v>
      </c>
      <c r="G9" s="52">
        <f t="shared" si="6"/>
        <v>104.49060288015619</v>
      </c>
      <c r="H9" s="52">
        <f t="shared" si="6"/>
        <v>104.49060288015619</v>
      </c>
      <c r="I9" s="313">
        <f t="shared" si="6"/>
        <v>104.49060288015619</v>
      </c>
      <c r="J9" s="52">
        <f t="shared" si="6"/>
        <v>104.49060288015619</v>
      </c>
      <c r="K9" s="52">
        <f t="shared" si="6"/>
        <v>104.49060288015619</v>
      </c>
      <c r="L9" s="304">
        <f t="shared" si="6"/>
        <v>104.49060288015619</v>
      </c>
      <c r="M9" s="52">
        <f t="shared" si="6"/>
        <v>104.49060288015619</v>
      </c>
      <c r="N9" s="52">
        <f t="shared" si="6"/>
        <v>104.49060288015619</v>
      </c>
      <c r="O9" s="52">
        <f t="shared" si="6"/>
        <v>104.49060288015619</v>
      </c>
      <c r="P9" s="52">
        <f t="shared" si="6"/>
        <v>104.49060288015619</v>
      </c>
      <c r="Q9" s="52">
        <f t="shared" si="6"/>
        <v>104.49060288015619</v>
      </c>
      <c r="R9" s="52">
        <f t="shared" si="6"/>
        <v>104.49060288015619</v>
      </c>
      <c r="S9" s="52">
        <f t="shared" si="6"/>
        <v>104.49060288015619</v>
      </c>
      <c r="T9" s="52">
        <f t="shared" si="6"/>
        <v>104.49060288015619</v>
      </c>
      <c r="U9" s="52">
        <f t="shared" si="6"/>
        <v>104.49060288015619</v>
      </c>
      <c r="V9" s="52">
        <f t="shared" ref="V9" si="7">V5*0.14392645024814</f>
        <v>1986.1850134243318</v>
      </c>
      <c r="W9" s="66"/>
    </row>
    <row r="10" spans="1:26" x14ac:dyDescent="0.35">
      <c r="A10" s="45" t="s">
        <v>27</v>
      </c>
      <c r="B10" s="61"/>
      <c r="C10" s="53">
        <v>498</v>
      </c>
      <c r="D10" s="53">
        <v>498</v>
      </c>
      <c r="E10" s="53">
        <v>498</v>
      </c>
      <c r="F10" s="53">
        <v>498</v>
      </c>
      <c r="G10" s="53">
        <v>498</v>
      </c>
      <c r="H10" s="53">
        <v>498</v>
      </c>
      <c r="I10" s="308">
        <v>498</v>
      </c>
      <c r="J10" s="53">
        <v>498</v>
      </c>
      <c r="K10" s="53">
        <v>498</v>
      </c>
      <c r="L10" s="303">
        <v>498</v>
      </c>
      <c r="M10" s="53">
        <v>498</v>
      </c>
      <c r="N10" s="53">
        <v>498</v>
      </c>
      <c r="O10" s="53">
        <v>498</v>
      </c>
      <c r="P10" s="53">
        <v>498</v>
      </c>
      <c r="Q10" s="53">
        <v>498</v>
      </c>
      <c r="R10" s="53">
        <v>498</v>
      </c>
      <c r="S10" s="53">
        <v>498</v>
      </c>
      <c r="T10" s="53">
        <v>498</v>
      </c>
      <c r="U10" s="53">
        <v>498</v>
      </c>
      <c r="V10" s="54">
        <v>9470</v>
      </c>
    </row>
    <row r="11" spans="1:26" x14ac:dyDescent="0.35">
      <c r="A11" s="62" t="s">
        <v>20</v>
      </c>
      <c r="B11" s="69">
        <v>0.2205282112845138</v>
      </c>
      <c r="C11" s="52">
        <f>C10*$B$11</f>
        <v>109.82304921968787</v>
      </c>
      <c r="D11" s="52">
        <f t="shared" ref="D11:U11" si="8">D10*$B$11</f>
        <v>109.82304921968787</v>
      </c>
      <c r="E11" s="52">
        <f t="shared" si="8"/>
        <v>109.82304921968787</v>
      </c>
      <c r="F11" s="52">
        <f t="shared" si="8"/>
        <v>109.82304921968787</v>
      </c>
      <c r="G11" s="52">
        <f t="shared" si="8"/>
        <v>109.82304921968787</v>
      </c>
      <c r="H11" s="52">
        <f t="shared" si="8"/>
        <v>109.82304921968787</v>
      </c>
      <c r="I11" s="313">
        <f t="shared" si="8"/>
        <v>109.82304921968787</v>
      </c>
      <c r="J11" s="52">
        <f>J10*$B$11</f>
        <v>109.82304921968787</v>
      </c>
      <c r="K11" s="52">
        <f t="shared" si="8"/>
        <v>109.82304921968787</v>
      </c>
      <c r="L11" s="304">
        <f t="shared" si="8"/>
        <v>109.82304921968787</v>
      </c>
      <c r="M11" s="52">
        <f t="shared" si="8"/>
        <v>109.82304921968787</v>
      </c>
      <c r="N11" s="52">
        <f t="shared" si="8"/>
        <v>109.82304921968787</v>
      </c>
      <c r="O11" s="52">
        <f t="shared" si="8"/>
        <v>109.82304921968787</v>
      </c>
      <c r="P11" s="52">
        <f t="shared" si="8"/>
        <v>109.82304921968787</v>
      </c>
      <c r="Q11" s="52">
        <f t="shared" si="8"/>
        <v>109.82304921968787</v>
      </c>
      <c r="R11" s="52">
        <f t="shared" si="8"/>
        <v>109.82304921968787</v>
      </c>
      <c r="S11" s="52">
        <f t="shared" si="8"/>
        <v>109.82304921968787</v>
      </c>
      <c r="T11" s="52">
        <f t="shared" si="8"/>
        <v>109.82304921968787</v>
      </c>
      <c r="U11" s="52">
        <f t="shared" si="8"/>
        <v>109.82304921968787</v>
      </c>
      <c r="V11" s="71">
        <f t="shared" ref="V11" si="9">V10*0.22</f>
        <v>2083.4</v>
      </c>
    </row>
    <row r="12" spans="1:26" x14ac:dyDescent="0.35">
      <c r="A12" s="62" t="s">
        <v>21</v>
      </c>
      <c r="B12" s="69">
        <v>0.31620648259303724</v>
      </c>
      <c r="C12" s="52">
        <f>C10*$B$12</f>
        <v>157.47082833133254</v>
      </c>
      <c r="D12" s="52">
        <f t="shared" ref="D12:U12" si="10">D10*$B$12</f>
        <v>157.47082833133254</v>
      </c>
      <c r="E12" s="52">
        <f t="shared" si="10"/>
        <v>157.47082833133254</v>
      </c>
      <c r="F12" s="52">
        <f t="shared" si="10"/>
        <v>157.47082833133254</v>
      </c>
      <c r="G12" s="52">
        <f t="shared" si="10"/>
        <v>157.47082833133254</v>
      </c>
      <c r="H12" s="52">
        <f t="shared" si="10"/>
        <v>157.47082833133254</v>
      </c>
      <c r="I12" s="313">
        <f t="shared" si="10"/>
        <v>157.47082833133254</v>
      </c>
      <c r="J12" s="52">
        <f t="shared" si="10"/>
        <v>157.47082833133254</v>
      </c>
      <c r="K12" s="52">
        <f t="shared" si="10"/>
        <v>157.47082833133254</v>
      </c>
      <c r="L12" s="304">
        <f t="shared" si="10"/>
        <v>157.47082833133254</v>
      </c>
      <c r="M12" s="52">
        <f t="shared" si="10"/>
        <v>157.47082833133254</v>
      </c>
      <c r="N12" s="52">
        <f t="shared" si="10"/>
        <v>157.47082833133254</v>
      </c>
      <c r="O12" s="52">
        <f t="shared" si="10"/>
        <v>157.47082833133254</v>
      </c>
      <c r="P12" s="52">
        <f t="shared" si="10"/>
        <v>157.47082833133254</v>
      </c>
      <c r="Q12" s="52">
        <f t="shared" si="10"/>
        <v>157.47082833133254</v>
      </c>
      <c r="R12" s="52">
        <f t="shared" si="10"/>
        <v>157.47082833133254</v>
      </c>
      <c r="S12" s="52">
        <f t="shared" si="10"/>
        <v>157.47082833133254</v>
      </c>
      <c r="T12" s="52">
        <f t="shared" si="10"/>
        <v>157.47082833133254</v>
      </c>
      <c r="U12" s="52">
        <f t="shared" si="10"/>
        <v>157.47082833133254</v>
      </c>
      <c r="V12" s="71">
        <f t="shared" ref="V12" si="11">V10*0.32</f>
        <v>3030.4</v>
      </c>
    </row>
    <row r="13" spans="1:26" x14ac:dyDescent="0.35">
      <c r="A13" s="62" t="s">
        <v>26</v>
      </c>
      <c r="B13" s="69">
        <v>0.3141656662665066</v>
      </c>
      <c r="C13" s="52">
        <f>C10*$B$13</f>
        <v>156.45450180072029</v>
      </c>
      <c r="D13" s="52">
        <f t="shared" ref="D13:U13" si="12">D10*$B$13</f>
        <v>156.45450180072029</v>
      </c>
      <c r="E13" s="52">
        <f t="shared" si="12"/>
        <v>156.45450180072029</v>
      </c>
      <c r="F13" s="52">
        <f t="shared" si="12"/>
        <v>156.45450180072029</v>
      </c>
      <c r="G13" s="52">
        <f t="shared" si="12"/>
        <v>156.45450180072029</v>
      </c>
      <c r="H13" s="52">
        <f t="shared" si="12"/>
        <v>156.45450180072029</v>
      </c>
      <c r="I13" s="313">
        <f t="shared" si="12"/>
        <v>156.45450180072029</v>
      </c>
      <c r="J13" s="52">
        <f t="shared" si="12"/>
        <v>156.45450180072029</v>
      </c>
      <c r="K13" s="52">
        <f t="shared" si="12"/>
        <v>156.45450180072029</v>
      </c>
      <c r="L13" s="304">
        <f t="shared" si="12"/>
        <v>156.45450180072029</v>
      </c>
      <c r="M13" s="52">
        <f t="shared" si="12"/>
        <v>156.45450180072029</v>
      </c>
      <c r="N13" s="52">
        <f t="shared" si="12"/>
        <v>156.45450180072029</v>
      </c>
      <c r="O13" s="52">
        <f t="shared" si="12"/>
        <v>156.45450180072029</v>
      </c>
      <c r="P13" s="52">
        <f t="shared" si="12"/>
        <v>156.45450180072029</v>
      </c>
      <c r="Q13" s="52">
        <f t="shared" si="12"/>
        <v>156.45450180072029</v>
      </c>
      <c r="R13" s="52">
        <f t="shared" si="12"/>
        <v>156.45450180072029</v>
      </c>
      <c r="S13" s="52">
        <f t="shared" si="12"/>
        <v>156.45450180072029</v>
      </c>
      <c r="T13" s="52">
        <f t="shared" si="12"/>
        <v>156.45450180072029</v>
      </c>
      <c r="U13" s="52">
        <f t="shared" si="12"/>
        <v>156.45450180072029</v>
      </c>
      <c r="V13" s="71">
        <f t="shared" ref="V13" si="13">V10*0.31</f>
        <v>2935.7</v>
      </c>
    </row>
    <row r="14" spans="1:26" x14ac:dyDescent="0.35">
      <c r="A14" s="62" t="s">
        <v>22</v>
      </c>
      <c r="B14" s="69">
        <v>0.14909963985594238</v>
      </c>
      <c r="C14" s="52">
        <f>C10*$B$14</f>
        <v>74.251620648259305</v>
      </c>
      <c r="D14" s="52">
        <f t="shared" ref="D14:U14" si="14">D10*$B$14</f>
        <v>74.251620648259305</v>
      </c>
      <c r="E14" s="52">
        <f t="shared" si="14"/>
        <v>74.251620648259305</v>
      </c>
      <c r="F14" s="52">
        <f t="shared" si="14"/>
        <v>74.251620648259305</v>
      </c>
      <c r="G14" s="52">
        <f t="shared" si="14"/>
        <v>74.251620648259305</v>
      </c>
      <c r="H14" s="52">
        <f t="shared" si="14"/>
        <v>74.251620648259305</v>
      </c>
      <c r="I14" s="313">
        <f t="shared" si="14"/>
        <v>74.251620648259305</v>
      </c>
      <c r="J14" s="52">
        <f t="shared" si="14"/>
        <v>74.251620648259305</v>
      </c>
      <c r="K14" s="52">
        <f t="shared" si="14"/>
        <v>74.251620648259305</v>
      </c>
      <c r="L14" s="304">
        <f t="shared" si="14"/>
        <v>74.251620648259305</v>
      </c>
      <c r="M14" s="52">
        <f t="shared" si="14"/>
        <v>74.251620648259305</v>
      </c>
      <c r="N14" s="52">
        <f t="shared" si="14"/>
        <v>74.251620648259305</v>
      </c>
      <c r="O14" s="52">
        <f t="shared" si="14"/>
        <v>74.251620648259305</v>
      </c>
      <c r="P14" s="52">
        <f t="shared" si="14"/>
        <v>74.251620648259305</v>
      </c>
      <c r="Q14" s="52">
        <f t="shared" si="14"/>
        <v>74.251620648259305</v>
      </c>
      <c r="R14" s="52">
        <f t="shared" si="14"/>
        <v>74.251620648259305</v>
      </c>
      <c r="S14" s="52">
        <f t="shared" si="14"/>
        <v>74.251620648259305</v>
      </c>
      <c r="T14" s="52">
        <f t="shared" si="14"/>
        <v>74.251620648259305</v>
      </c>
      <c r="U14" s="52">
        <f t="shared" si="14"/>
        <v>74.251620648259305</v>
      </c>
      <c r="V14" s="71">
        <f t="shared" ref="V14" si="15">V10*0.15</f>
        <v>1420.5</v>
      </c>
    </row>
    <row r="15" spans="1:26" x14ac:dyDescent="0.35">
      <c r="A15" s="45" t="s">
        <v>28</v>
      </c>
      <c r="B15" s="61"/>
      <c r="C15" s="53">
        <v>2870</v>
      </c>
      <c r="D15" s="53">
        <v>2870</v>
      </c>
      <c r="E15" s="53">
        <v>2870</v>
      </c>
      <c r="F15" s="53">
        <v>2870</v>
      </c>
      <c r="G15" s="53">
        <v>2870</v>
      </c>
      <c r="H15" s="53">
        <v>2870</v>
      </c>
      <c r="I15" s="308">
        <v>2870</v>
      </c>
      <c r="J15" s="53">
        <v>2870</v>
      </c>
      <c r="K15" s="53">
        <v>2870</v>
      </c>
      <c r="L15" s="303">
        <v>2870</v>
      </c>
      <c r="M15" s="53">
        <v>2870</v>
      </c>
      <c r="N15" s="53">
        <v>2870</v>
      </c>
      <c r="O15" s="53">
        <v>2870</v>
      </c>
      <c r="P15" s="53">
        <v>2870</v>
      </c>
      <c r="Q15" s="53">
        <v>2870</v>
      </c>
      <c r="R15" s="53">
        <v>2870</v>
      </c>
      <c r="S15" s="53">
        <v>2870</v>
      </c>
      <c r="T15" s="53">
        <v>2870</v>
      </c>
      <c r="U15" s="53">
        <v>2870</v>
      </c>
      <c r="V15" s="54">
        <v>54530</v>
      </c>
    </row>
    <row r="16" spans="1:26" x14ac:dyDescent="0.35">
      <c r="A16" s="62" t="s">
        <v>20</v>
      </c>
      <c r="B16" s="69">
        <v>3.9141414141414144E-2</v>
      </c>
      <c r="C16" s="52">
        <f>C15*$B$16</f>
        <v>112.33585858585859</v>
      </c>
      <c r="D16" s="52">
        <f t="shared" ref="D16:U16" si="16">D15*$B$16</f>
        <v>112.33585858585859</v>
      </c>
      <c r="E16" s="52">
        <f t="shared" si="16"/>
        <v>112.33585858585859</v>
      </c>
      <c r="F16" s="52">
        <f t="shared" si="16"/>
        <v>112.33585858585859</v>
      </c>
      <c r="G16" s="52">
        <f t="shared" si="16"/>
        <v>112.33585858585859</v>
      </c>
      <c r="H16" s="52">
        <f t="shared" si="16"/>
        <v>112.33585858585859</v>
      </c>
      <c r="I16" s="313">
        <f t="shared" si="16"/>
        <v>112.33585858585859</v>
      </c>
      <c r="J16" s="52">
        <f t="shared" si="16"/>
        <v>112.33585858585859</v>
      </c>
      <c r="K16" s="52">
        <f t="shared" si="16"/>
        <v>112.33585858585859</v>
      </c>
      <c r="L16" s="304">
        <f t="shared" si="16"/>
        <v>112.33585858585859</v>
      </c>
      <c r="M16" s="52">
        <f t="shared" si="16"/>
        <v>112.33585858585859</v>
      </c>
      <c r="N16" s="52">
        <f t="shared" si="16"/>
        <v>112.33585858585859</v>
      </c>
      <c r="O16" s="52">
        <f t="shared" si="16"/>
        <v>112.33585858585859</v>
      </c>
      <c r="P16" s="52">
        <f t="shared" si="16"/>
        <v>112.33585858585859</v>
      </c>
      <c r="Q16" s="52">
        <f t="shared" si="16"/>
        <v>112.33585858585859</v>
      </c>
      <c r="R16" s="52">
        <f t="shared" si="16"/>
        <v>112.33585858585859</v>
      </c>
      <c r="S16" s="52">
        <f t="shared" si="16"/>
        <v>112.33585858585859</v>
      </c>
      <c r="T16" s="52">
        <f t="shared" si="16"/>
        <v>112.33585858585859</v>
      </c>
      <c r="U16" s="52">
        <f t="shared" si="16"/>
        <v>112.33585858585859</v>
      </c>
      <c r="V16" s="71">
        <f t="shared" ref="V16" si="17">V15*0.04</f>
        <v>2181.1999999999998</v>
      </c>
    </row>
    <row r="17" spans="1:22" x14ac:dyDescent="0.35">
      <c r="A17" s="62" t="s">
        <v>21</v>
      </c>
      <c r="B17" s="69">
        <v>0.24185823754789271</v>
      </c>
      <c r="C17" s="52">
        <f>C15*$B$17</f>
        <v>694.13314176245206</v>
      </c>
      <c r="D17" s="52">
        <f t="shared" ref="D17:U17" si="18">D15*$B$17</f>
        <v>694.13314176245206</v>
      </c>
      <c r="E17" s="52">
        <f t="shared" si="18"/>
        <v>694.13314176245206</v>
      </c>
      <c r="F17" s="52">
        <f t="shared" si="18"/>
        <v>694.13314176245206</v>
      </c>
      <c r="G17" s="52">
        <f t="shared" si="18"/>
        <v>694.13314176245206</v>
      </c>
      <c r="H17" s="52">
        <f t="shared" si="18"/>
        <v>694.13314176245206</v>
      </c>
      <c r="I17" s="313">
        <f t="shared" si="18"/>
        <v>694.13314176245206</v>
      </c>
      <c r="J17" s="52">
        <f t="shared" si="18"/>
        <v>694.13314176245206</v>
      </c>
      <c r="K17" s="52">
        <f t="shared" si="18"/>
        <v>694.13314176245206</v>
      </c>
      <c r="L17" s="304">
        <f t="shared" si="18"/>
        <v>694.13314176245206</v>
      </c>
      <c r="M17" s="52">
        <f t="shared" si="18"/>
        <v>694.13314176245206</v>
      </c>
      <c r="N17" s="52">
        <f t="shared" si="18"/>
        <v>694.13314176245206</v>
      </c>
      <c r="O17" s="52">
        <f t="shared" si="18"/>
        <v>694.13314176245206</v>
      </c>
      <c r="P17" s="52">
        <f t="shared" si="18"/>
        <v>694.13314176245206</v>
      </c>
      <c r="Q17" s="52">
        <f t="shared" si="18"/>
        <v>694.13314176245206</v>
      </c>
      <c r="R17" s="52">
        <f t="shared" si="18"/>
        <v>694.13314176245206</v>
      </c>
      <c r="S17" s="52">
        <f t="shared" si="18"/>
        <v>694.13314176245206</v>
      </c>
      <c r="T17" s="52">
        <f t="shared" si="18"/>
        <v>694.13314176245206</v>
      </c>
      <c r="U17" s="52">
        <f t="shared" si="18"/>
        <v>694.13314176245206</v>
      </c>
      <c r="V17" s="71">
        <f t="shared" ref="V17" si="19">V15*0.24</f>
        <v>13087.199999999999</v>
      </c>
    </row>
    <row r="18" spans="1:22" x14ac:dyDescent="0.35">
      <c r="A18" s="62" t="s">
        <v>26</v>
      </c>
      <c r="B18" s="69">
        <v>0.3480929989550679</v>
      </c>
      <c r="C18" s="52">
        <f>C15*$B$18</f>
        <v>999.02690700104483</v>
      </c>
      <c r="D18" s="52">
        <f t="shared" ref="D18:U18" si="20">D15*$B$18</f>
        <v>999.02690700104483</v>
      </c>
      <c r="E18" s="52">
        <f t="shared" si="20"/>
        <v>999.02690700104483</v>
      </c>
      <c r="F18" s="52">
        <f t="shared" si="20"/>
        <v>999.02690700104483</v>
      </c>
      <c r="G18" s="52">
        <f t="shared" si="20"/>
        <v>999.02690700104483</v>
      </c>
      <c r="H18" s="52">
        <f t="shared" si="20"/>
        <v>999.02690700104483</v>
      </c>
      <c r="I18" s="313">
        <f t="shared" si="20"/>
        <v>999.02690700104483</v>
      </c>
      <c r="J18" s="52">
        <f t="shared" si="20"/>
        <v>999.02690700104483</v>
      </c>
      <c r="K18" s="52">
        <f t="shared" si="20"/>
        <v>999.02690700104483</v>
      </c>
      <c r="L18" s="304">
        <f t="shared" si="20"/>
        <v>999.02690700104483</v>
      </c>
      <c r="M18" s="52">
        <f t="shared" si="20"/>
        <v>999.02690700104483</v>
      </c>
      <c r="N18" s="52">
        <f t="shared" si="20"/>
        <v>999.02690700104483</v>
      </c>
      <c r="O18" s="52">
        <f t="shared" si="20"/>
        <v>999.02690700104483</v>
      </c>
      <c r="P18" s="52">
        <f t="shared" si="20"/>
        <v>999.02690700104483</v>
      </c>
      <c r="Q18" s="52">
        <f t="shared" si="20"/>
        <v>999.02690700104483</v>
      </c>
      <c r="R18" s="52">
        <f t="shared" si="20"/>
        <v>999.02690700104483</v>
      </c>
      <c r="S18" s="52">
        <f t="shared" si="20"/>
        <v>999.02690700104483</v>
      </c>
      <c r="T18" s="52">
        <f t="shared" si="20"/>
        <v>999.02690700104483</v>
      </c>
      <c r="U18" s="52">
        <f t="shared" si="20"/>
        <v>999.02690700104483</v>
      </c>
      <c r="V18" s="71">
        <f t="shared" ref="V18" si="21">V15*0.35</f>
        <v>19085.5</v>
      </c>
    </row>
    <row r="19" spans="1:22" x14ac:dyDescent="0.35">
      <c r="A19" s="62" t="s">
        <v>22</v>
      </c>
      <c r="B19" s="69">
        <v>0.37095088819226751</v>
      </c>
      <c r="C19" s="52">
        <f>C15*$B$19</f>
        <v>1064.6290491118077</v>
      </c>
      <c r="D19" s="52">
        <f t="shared" ref="D19:U19" si="22">D15*$B$19</f>
        <v>1064.6290491118077</v>
      </c>
      <c r="E19" s="52">
        <f t="shared" si="22"/>
        <v>1064.6290491118077</v>
      </c>
      <c r="F19" s="52">
        <f t="shared" si="22"/>
        <v>1064.6290491118077</v>
      </c>
      <c r="G19" s="52">
        <f t="shared" si="22"/>
        <v>1064.6290491118077</v>
      </c>
      <c r="H19" s="52">
        <f t="shared" si="22"/>
        <v>1064.6290491118077</v>
      </c>
      <c r="I19" s="313">
        <f t="shared" si="22"/>
        <v>1064.6290491118077</v>
      </c>
      <c r="J19" s="52">
        <f t="shared" si="22"/>
        <v>1064.6290491118077</v>
      </c>
      <c r="K19" s="52">
        <f t="shared" si="22"/>
        <v>1064.6290491118077</v>
      </c>
      <c r="L19" s="304">
        <f t="shared" si="22"/>
        <v>1064.6290491118077</v>
      </c>
      <c r="M19" s="52">
        <f t="shared" si="22"/>
        <v>1064.6290491118077</v>
      </c>
      <c r="N19" s="52">
        <f t="shared" si="22"/>
        <v>1064.6290491118077</v>
      </c>
      <c r="O19" s="52">
        <f t="shared" si="22"/>
        <v>1064.6290491118077</v>
      </c>
      <c r="P19" s="52">
        <f t="shared" si="22"/>
        <v>1064.6290491118077</v>
      </c>
      <c r="Q19" s="52">
        <f t="shared" si="22"/>
        <v>1064.6290491118077</v>
      </c>
      <c r="R19" s="52">
        <f t="shared" si="22"/>
        <v>1064.6290491118077</v>
      </c>
      <c r="S19" s="52">
        <f t="shared" si="22"/>
        <v>1064.6290491118077</v>
      </c>
      <c r="T19" s="52">
        <f t="shared" si="22"/>
        <v>1064.6290491118077</v>
      </c>
      <c r="U19" s="52">
        <f t="shared" si="22"/>
        <v>1064.6290491118077</v>
      </c>
      <c r="V19" s="71">
        <f>V15*0.37</f>
        <v>20176.099999999999</v>
      </c>
    </row>
    <row r="20" spans="1:22" s="310" customFormat="1" x14ac:dyDescent="0.35">
      <c r="A20" s="307" t="s">
        <v>29</v>
      </c>
      <c r="B20" s="307"/>
      <c r="C20" s="308">
        <v>752</v>
      </c>
      <c r="D20" s="308">
        <v>752</v>
      </c>
      <c r="E20" s="308">
        <v>752</v>
      </c>
      <c r="F20" s="308">
        <v>752</v>
      </c>
      <c r="G20" s="308">
        <v>752</v>
      </c>
      <c r="H20" s="308">
        <v>752</v>
      </c>
      <c r="I20" s="308">
        <v>752</v>
      </c>
      <c r="J20" s="308">
        <v>752</v>
      </c>
      <c r="K20" s="308">
        <v>752</v>
      </c>
      <c r="L20" s="303">
        <v>752</v>
      </c>
      <c r="M20" s="308">
        <v>752</v>
      </c>
      <c r="N20" s="308">
        <v>752</v>
      </c>
      <c r="O20" s="308">
        <v>752</v>
      </c>
      <c r="P20" s="308">
        <v>752</v>
      </c>
      <c r="Q20" s="308">
        <v>752</v>
      </c>
      <c r="R20" s="308">
        <v>752</v>
      </c>
      <c r="S20" s="308">
        <v>752</v>
      </c>
      <c r="T20" s="308">
        <v>752</v>
      </c>
      <c r="U20" s="308">
        <v>752</v>
      </c>
      <c r="V20" s="309">
        <v>14290</v>
      </c>
    </row>
    <row r="21" spans="1:22" s="315" customFormat="1" x14ac:dyDescent="0.35">
      <c r="A21" s="311" t="s">
        <v>20</v>
      </c>
      <c r="B21" s="312">
        <v>0.18367986626266847</v>
      </c>
      <c r="C21" s="313">
        <f>C20*$B$21</f>
        <v>138.12725942952667</v>
      </c>
      <c r="D21" s="313">
        <f t="shared" ref="D21:U21" si="23">D20*$B$21</f>
        <v>138.12725942952667</v>
      </c>
      <c r="E21" s="313">
        <f t="shared" si="23"/>
        <v>138.12725942952667</v>
      </c>
      <c r="F21" s="313">
        <f t="shared" si="23"/>
        <v>138.12725942952667</v>
      </c>
      <c r="G21" s="313">
        <f t="shared" si="23"/>
        <v>138.12725942952667</v>
      </c>
      <c r="H21" s="313">
        <f t="shared" si="23"/>
        <v>138.12725942952667</v>
      </c>
      <c r="I21" s="313">
        <f t="shared" si="23"/>
        <v>138.12725942952667</v>
      </c>
      <c r="J21" s="313">
        <f t="shared" si="23"/>
        <v>138.12725942952667</v>
      </c>
      <c r="K21" s="313">
        <f t="shared" si="23"/>
        <v>138.12725942952667</v>
      </c>
      <c r="L21" s="304">
        <f t="shared" si="23"/>
        <v>138.12725942952667</v>
      </c>
      <c r="M21" s="313">
        <f t="shared" si="23"/>
        <v>138.12725942952667</v>
      </c>
      <c r="N21" s="313">
        <f t="shared" si="23"/>
        <v>138.12725942952667</v>
      </c>
      <c r="O21" s="313">
        <f t="shared" si="23"/>
        <v>138.12725942952667</v>
      </c>
      <c r="P21" s="313">
        <f t="shared" si="23"/>
        <v>138.12725942952667</v>
      </c>
      <c r="Q21" s="313">
        <f t="shared" si="23"/>
        <v>138.12725942952667</v>
      </c>
      <c r="R21" s="313">
        <f t="shared" si="23"/>
        <v>138.12725942952667</v>
      </c>
      <c r="S21" s="313">
        <f t="shared" si="23"/>
        <v>138.12725942952667</v>
      </c>
      <c r="T21" s="313">
        <f t="shared" si="23"/>
        <v>138.12725942952667</v>
      </c>
      <c r="U21" s="313">
        <f t="shared" si="23"/>
        <v>138.12725942952667</v>
      </c>
      <c r="V21" s="314">
        <f t="shared" ref="V21" si="24">V20*0.18</f>
        <v>2572.1999999999998</v>
      </c>
    </row>
    <row r="22" spans="1:22" s="315" customFormat="1" x14ac:dyDescent="0.35">
      <c r="A22" s="311" t="s">
        <v>21</v>
      </c>
      <c r="B22" s="312">
        <v>0.24448855918921744</v>
      </c>
      <c r="C22" s="313">
        <f>C20*$B$22</f>
        <v>183.85539651029151</v>
      </c>
      <c r="D22" s="313">
        <f t="shared" ref="D22:U22" si="25">D20*$B$22</f>
        <v>183.85539651029151</v>
      </c>
      <c r="E22" s="313">
        <f t="shared" si="25"/>
        <v>183.85539651029151</v>
      </c>
      <c r="F22" s="313">
        <f t="shared" si="25"/>
        <v>183.85539651029151</v>
      </c>
      <c r="G22" s="313">
        <f t="shared" si="25"/>
        <v>183.85539651029151</v>
      </c>
      <c r="H22" s="313">
        <f t="shared" si="25"/>
        <v>183.85539651029151</v>
      </c>
      <c r="I22" s="313">
        <f t="shared" si="25"/>
        <v>183.85539651029151</v>
      </c>
      <c r="J22" s="313">
        <f t="shared" si="25"/>
        <v>183.85539651029151</v>
      </c>
      <c r="K22" s="313">
        <f t="shared" si="25"/>
        <v>183.85539651029151</v>
      </c>
      <c r="L22" s="304">
        <f t="shared" si="25"/>
        <v>183.85539651029151</v>
      </c>
      <c r="M22" s="313">
        <f t="shared" si="25"/>
        <v>183.85539651029151</v>
      </c>
      <c r="N22" s="313">
        <f t="shared" si="25"/>
        <v>183.85539651029151</v>
      </c>
      <c r="O22" s="313">
        <f t="shared" si="25"/>
        <v>183.85539651029151</v>
      </c>
      <c r="P22" s="313">
        <f t="shared" si="25"/>
        <v>183.85539651029151</v>
      </c>
      <c r="Q22" s="313">
        <f t="shared" si="25"/>
        <v>183.85539651029151</v>
      </c>
      <c r="R22" s="313">
        <f t="shared" si="25"/>
        <v>183.85539651029151</v>
      </c>
      <c r="S22" s="313">
        <f t="shared" si="25"/>
        <v>183.85539651029151</v>
      </c>
      <c r="T22" s="313">
        <f t="shared" si="25"/>
        <v>183.85539651029151</v>
      </c>
      <c r="U22" s="313">
        <f t="shared" si="25"/>
        <v>183.85539651029151</v>
      </c>
      <c r="V22" s="314">
        <f t="shared" ref="V22" si="26">V20*0.24</f>
        <v>3429.6</v>
      </c>
    </row>
    <row r="23" spans="1:22" s="315" customFormat="1" x14ac:dyDescent="0.35">
      <c r="A23" s="311" t="s">
        <v>26</v>
      </c>
      <c r="B23" s="312">
        <v>0.44290042837739002</v>
      </c>
      <c r="C23" s="313">
        <f>C20*$B$23</f>
        <v>333.06112213979731</v>
      </c>
      <c r="D23" s="313">
        <f t="shared" ref="D23:U23" si="27">D20*$B$23</f>
        <v>333.06112213979731</v>
      </c>
      <c r="E23" s="313">
        <f t="shared" si="27"/>
        <v>333.06112213979731</v>
      </c>
      <c r="F23" s="313">
        <f t="shared" si="27"/>
        <v>333.06112213979731</v>
      </c>
      <c r="G23" s="313">
        <f t="shared" si="27"/>
        <v>333.06112213979731</v>
      </c>
      <c r="H23" s="313">
        <f t="shared" si="27"/>
        <v>333.06112213979731</v>
      </c>
      <c r="I23" s="313">
        <f t="shared" si="27"/>
        <v>333.06112213979731</v>
      </c>
      <c r="J23" s="313">
        <f t="shared" si="27"/>
        <v>333.06112213979731</v>
      </c>
      <c r="K23" s="313">
        <f t="shared" si="27"/>
        <v>333.06112213979731</v>
      </c>
      <c r="L23" s="304">
        <f t="shared" si="27"/>
        <v>333.06112213979731</v>
      </c>
      <c r="M23" s="313">
        <f t="shared" si="27"/>
        <v>333.06112213979731</v>
      </c>
      <c r="N23" s="313">
        <f t="shared" si="27"/>
        <v>333.06112213979731</v>
      </c>
      <c r="O23" s="313">
        <f t="shared" si="27"/>
        <v>333.06112213979731</v>
      </c>
      <c r="P23" s="313">
        <f t="shared" si="27"/>
        <v>333.06112213979731</v>
      </c>
      <c r="Q23" s="313">
        <f t="shared" si="27"/>
        <v>333.06112213979731</v>
      </c>
      <c r="R23" s="313">
        <f t="shared" si="27"/>
        <v>333.06112213979731</v>
      </c>
      <c r="S23" s="313">
        <f t="shared" si="27"/>
        <v>333.06112213979731</v>
      </c>
      <c r="T23" s="313">
        <f t="shared" si="27"/>
        <v>333.06112213979731</v>
      </c>
      <c r="U23" s="313">
        <f t="shared" si="27"/>
        <v>333.06112213979731</v>
      </c>
      <c r="V23" s="314">
        <f t="shared" ref="V23" si="28">V20*0.44</f>
        <v>6287.6</v>
      </c>
    </row>
    <row r="24" spans="1:22" s="315" customFormat="1" x14ac:dyDescent="0.35">
      <c r="A24" s="311" t="s">
        <v>22</v>
      </c>
      <c r="B24" s="312">
        <v>0.12882666388047226</v>
      </c>
      <c r="C24" s="313">
        <f>C20*$B$24</f>
        <v>96.877651238115135</v>
      </c>
      <c r="D24" s="313">
        <f t="shared" ref="D24:U24" si="29">D20*$B$24</f>
        <v>96.877651238115135</v>
      </c>
      <c r="E24" s="313">
        <f t="shared" si="29"/>
        <v>96.877651238115135</v>
      </c>
      <c r="F24" s="313">
        <f t="shared" si="29"/>
        <v>96.877651238115135</v>
      </c>
      <c r="G24" s="313">
        <f t="shared" si="29"/>
        <v>96.877651238115135</v>
      </c>
      <c r="H24" s="313">
        <f t="shared" si="29"/>
        <v>96.877651238115135</v>
      </c>
      <c r="I24" s="313">
        <f t="shared" si="29"/>
        <v>96.877651238115135</v>
      </c>
      <c r="J24" s="313">
        <f t="shared" si="29"/>
        <v>96.877651238115135</v>
      </c>
      <c r="K24" s="313">
        <f t="shared" si="29"/>
        <v>96.877651238115135</v>
      </c>
      <c r="L24" s="304">
        <f t="shared" si="29"/>
        <v>96.877651238115135</v>
      </c>
      <c r="M24" s="313">
        <f t="shared" si="29"/>
        <v>96.877651238115135</v>
      </c>
      <c r="N24" s="313">
        <f t="shared" si="29"/>
        <v>96.877651238115135</v>
      </c>
      <c r="O24" s="313">
        <f t="shared" si="29"/>
        <v>96.877651238115135</v>
      </c>
      <c r="P24" s="313">
        <f t="shared" si="29"/>
        <v>96.877651238115135</v>
      </c>
      <c r="Q24" s="313">
        <f t="shared" si="29"/>
        <v>96.877651238115135</v>
      </c>
      <c r="R24" s="313">
        <f t="shared" si="29"/>
        <v>96.877651238115135</v>
      </c>
      <c r="S24" s="313">
        <f t="shared" si="29"/>
        <v>96.877651238115135</v>
      </c>
      <c r="T24" s="313">
        <f t="shared" si="29"/>
        <v>96.877651238115135</v>
      </c>
      <c r="U24" s="313">
        <f t="shared" si="29"/>
        <v>96.877651238115135</v>
      </c>
      <c r="V24" s="314">
        <f t="shared" ref="V24" si="30">V20*0.13</f>
        <v>1857.7</v>
      </c>
    </row>
    <row r="25" spans="1:22" s="315" customFormat="1" x14ac:dyDescent="0.35">
      <c r="A25" s="316" t="s">
        <v>30</v>
      </c>
      <c r="B25" s="316"/>
      <c r="C25" s="317">
        <v>640</v>
      </c>
      <c r="D25" s="317">
        <v>640</v>
      </c>
      <c r="E25" s="317">
        <v>640</v>
      </c>
      <c r="F25" s="317">
        <v>640</v>
      </c>
      <c r="G25" s="317">
        <v>640</v>
      </c>
      <c r="H25" s="317">
        <v>640</v>
      </c>
      <c r="I25" s="317">
        <v>640</v>
      </c>
      <c r="J25" s="317">
        <v>640</v>
      </c>
      <c r="K25" s="317">
        <v>640</v>
      </c>
      <c r="L25" s="306">
        <v>640</v>
      </c>
      <c r="M25" s="317">
        <v>640</v>
      </c>
      <c r="N25" s="317">
        <v>640</v>
      </c>
      <c r="O25" s="317">
        <v>640</v>
      </c>
      <c r="P25" s="317">
        <v>640</v>
      </c>
      <c r="Q25" s="317">
        <v>640</v>
      </c>
      <c r="R25" s="317">
        <v>640</v>
      </c>
      <c r="S25" s="317">
        <v>640</v>
      </c>
      <c r="T25" s="317">
        <v>640</v>
      </c>
      <c r="U25" s="317">
        <v>640</v>
      </c>
      <c r="V25" s="309">
        <v>12160</v>
      </c>
    </row>
    <row r="26" spans="1:22" s="315" customFormat="1" x14ac:dyDescent="0.35">
      <c r="A26" s="311" t="s">
        <v>20</v>
      </c>
      <c r="B26" s="312">
        <v>0.1928160306970795</v>
      </c>
      <c r="C26" s="313">
        <f>C25*$B$26</f>
        <v>123.40225964613089</v>
      </c>
      <c r="D26" s="313">
        <f t="shared" ref="D26:U26" si="31">D25*$B$26</f>
        <v>123.40225964613089</v>
      </c>
      <c r="E26" s="313">
        <f t="shared" si="31"/>
        <v>123.40225964613089</v>
      </c>
      <c r="F26" s="313">
        <f t="shared" si="31"/>
        <v>123.40225964613089</v>
      </c>
      <c r="G26" s="313">
        <f t="shared" si="31"/>
        <v>123.40225964613089</v>
      </c>
      <c r="H26" s="313">
        <f t="shared" si="31"/>
        <v>123.40225964613089</v>
      </c>
      <c r="I26" s="313">
        <f t="shared" si="31"/>
        <v>123.40225964613089</v>
      </c>
      <c r="J26" s="313">
        <f t="shared" si="31"/>
        <v>123.40225964613089</v>
      </c>
      <c r="K26" s="313">
        <f t="shared" si="31"/>
        <v>123.40225964613089</v>
      </c>
      <c r="L26" s="304">
        <f t="shared" si="31"/>
        <v>123.40225964613089</v>
      </c>
      <c r="M26" s="313">
        <f t="shared" si="31"/>
        <v>123.40225964613089</v>
      </c>
      <c r="N26" s="313">
        <f t="shared" si="31"/>
        <v>123.40225964613089</v>
      </c>
      <c r="O26" s="313">
        <f t="shared" si="31"/>
        <v>123.40225964613089</v>
      </c>
      <c r="P26" s="313">
        <f t="shared" si="31"/>
        <v>123.40225964613089</v>
      </c>
      <c r="Q26" s="313">
        <f t="shared" si="31"/>
        <v>123.40225964613089</v>
      </c>
      <c r="R26" s="313">
        <f t="shared" si="31"/>
        <v>123.40225964613089</v>
      </c>
      <c r="S26" s="313">
        <f t="shared" si="31"/>
        <v>123.40225964613089</v>
      </c>
      <c r="T26" s="313">
        <f t="shared" si="31"/>
        <v>123.40225964613089</v>
      </c>
      <c r="U26" s="313">
        <f t="shared" si="31"/>
        <v>123.40225964613089</v>
      </c>
      <c r="V26" s="314">
        <f t="shared" ref="V26" si="32">V25*0.1</f>
        <v>1216</v>
      </c>
    </row>
    <row r="27" spans="1:22" s="315" customFormat="1" x14ac:dyDescent="0.35">
      <c r="A27" s="311" t="s">
        <v>21</v>
      </c>
      <c r="B27" s="312">
        <v>0.27232999360477511</v>
      </c>
      <c r="C27" s="313">
        <f>C25*$B$27</f>
        <v>174.29119590705608</v>
      </c>
      <c r="D27" s="313">
        <f t="shared" ref="D27:U27" si="33">D25*$B$27</f>
        <v>174.29119590705608</v>
      </c>
      <c r="E27" s="313">
        <f t="shared" si="33"/>
        <v>174.29119590705608</v>
      </c>
      <c r="F27" s="313">
        <f t="shared" si="33"/>
        <v>174.29119590705608</v>
      </c>
      <c r="G27" s="313">
        <f t="shared" si="33"/>
        <v>174.29119590705608</v>
      </c>
      <c r="H27" s="313">
        <f t="shared" si="33"/>
        <v>174.29119590705608</v>
      </c>
      <c r="I27" s="313">
        <f t="shared" si="33"/>
        <v>174.29119590705608</v>
      </c>
      <c r="J27" s="313">
        <f t="shared" si="33"/>
        <v>174.29119590705608</v>
      </c>
      <c r="K27" s="313">
        <f t="shared" si="33"/>
        <v>174.29119590705608</v>
      </c>
      <c r="L27" s="304">
        <f t="shared" si="33"/>
        <v>174.29119590705608</v>
      </c>
      <c r="M27" s="313">
        <f t="shared" si="33"/>
        <v>174.29119590705608</v>
      </c>
      <c r="N27" s="313">
        <f t="shared" si="33"/>
        <v>174.29119590705608</v>
      </c>
      <c r="O27" s="313">
        <f t="shared" si="33"/>
        <v>174.29119590705608</v>
      </c>
      <c r="P27" s="313">
        <f t="shared" si="33"/>
        <v>174.29119590705608</v>
      </c>
      <c r="Q27" s="313">
        <f t="shared" si="33"/>
        <v>174.29119590705608</v>
      </c>
      <c r="R27" s="313">
        <f t="shared" si="33"/>
        <v>174.29119590705608</v>
      </c>
      <c r="S27" s="313">
        <f t="shared" si="33"/>
        <v>174.29119590705608</v>
      </c>
      <c r="T27" s="313">
        <f t="shared" si="33"/>
        <v>174.29119590705608</v>
      </c>
      <c r="U27" s="313">
        <f t="shared" si="33"/>
        <v>174.29119590705608</v>
      </c>
      <c r="V27" s="314">
        <f t="shared" ref="V27" si="34">V25*0.27</f>
        <v>3283.2000000000003</v>
      </c>
    </row>
    <row r="28" spans="1:22" s="315" customFormat="1" x14ac:dyDescent="0.35">
      <c r="A28" s="311" t="s">
        <v>26</v>
      </c>
      <c r="B28" s="312">
        <v>0.39287998294606696</v>
      </c>
      <c r="C28" s="313">
        <f>C25*$B$28</f>
        <v>251.44318908548286</v>
      </c>
      <c r="D28" s="313">
        <f t="shared" ref="D28:U28" si="35">D25*$B$28</f>
        <v>251.44318908548286</v>
      </c>
      <c r="E28" s="313">
        <f t="shared" si="35"/>
        <v>251.44318908548286</v>
      </c>
      <c r="F28" s="313">
        <f t="shared" si="35"/>
        <v>251.44318908548286</v>
      </c>
      <c r="G28" s="313">
        <f t="shared" si="35"/>
        <v>251.44318908548286</v>
      </c>
      <c r="H28" s="313">
        <f t="shared" si="35"/>
        <v>251.44318908548286</v>
      </c>
      <c r="I28" s="313">
        <f t="shared" si="35"/>
        <v>251.44318908548286</v>
      </c>
      <c r="J28" s="313">
        <f t="shared" si="35"/>
        <v>251.44318908548286</v>
      </c>
      <c r="K28" s="313">
        <f t="shared" si="35"/>
        <v>251.44318908548286</v>
      </c>
      <c r="L28" s="304">
        <f t="shared" si="35"/>
        <v>251.44318908548286</v>
      </c>
      <c r="M28" s="313">
        <f t="shared" si="35"/>
        <v>251.44318908548286</v>
      </c>
      <c r="N28" s="313">
        <f t="shared" si="35"/>
        <v>251.44318908548286</v>
      </c>
      <c r="O28" s="313">
        <f t="shared" si="35"/>
        <v>251.44318908548286</v>
      </c>
      <c r="P28" s="313">
        <f t="shared" si="35"/>
        <v>251.44318908548286</v>
      </c>
      <c r="Q28" s="313">
        <f t="shared" si="35"/>
        <v>251.44318908548286</v>
      </c>
      <c r="R28" s="313">
        <f t="shared" si="35"/>
        <v>251.44318908548286</v>
      </c>
      <c r="S28" s="313">
        <f t="shared" si="35"/>
        <v>251.44318908548286</v>
      </c>
      <c r="T28" s="313">
        <f t="shared" si="35"/>
        <v>251.44318908548286</v>
      </c>
      <c r="U28" s="313">
        <f t="shared" si="35"/>
        <v>251.44318908548286</v>
      </c>
      <c r="V28" s="314">
        <f t="shared" ref="V28" si="36">V25*0.39</f>
        <v>4742.4000000000005</v>
      </c>
    </row>
    <row r="29" spans="1:22" s="315" customFormat="1" x14ac:dyDescent="0.35">
      <c r="A29" s="311" t="s">
        <v>22</v>
      </c>
      <c r="B29" s="312">
        <v>0.14208057983372416</v>
      </c>
      <c r="C29" s="313">
        <f>C25*$B$29</f>
        <v>90.931571093583457</v>
      </c>
      <c r="D29" s="313">
        <f t="shared" ref="D29:U29" si="37">D25*$B$29</f>
        <v>90.931571093583457</v>
      </c>
      <c r="E29" s="313">
        <f t="shared" si="37"/>
        <v>90.931571093583457</v>
      </c>
      <c r="F29" s="313">
        <f t="shared" si="37"/>
        <v>90.931571093583457</v>
      </c>
      <c r="G29" s="313">
        <f t="shared" si="37"/>
        <v>90.931571093583457</v>
      </c>
      <c r="H29" s="313">
        <f t="shared" si="37"/>
        <v>90.931571093583457</v>
      </c>
      <c r="I29" s="313">
        <f t="shared" si="37"/>
        <v>90.931571093583457</v>
      </c>
      <c r="J29" s="313">
        <f t="shared" si="37"/>
        <v>90.931571093583457</v>
      </c>
      <c r="K29" s="313">
        <f t="shared" si="37"/>
        <v>90.931571093583457</v>
      </c>
      <c r="L29" s="304">
        <f t="shared" si="37"/>
        <v>90.931571093583457</v>
      </c>
      <c r="M29" s="313">
        <f t="shared" si="37"/>
        <v>90.931571093583457</v>
      </c>
      <c r="N29" s="313">
        <f t="shared" si="37"/>
        <v>90.931571093583457</v>
      </c>
      <c r="O29" s="313">
        <f t="shared" si="37"/>
        <v>90.931571093583457</v>
      </c>
      <c r="P29" s="313">
        <f t="shared" si="37"/>
        <v>90.931571093583457</v>
      </c>
      <c r="Q29" s="313">
        <f t="shared" si="37"/>
        <v>90.931571093583457</v>
      </c>
      <c r="R29" s="313">
        <f t="shared" si="37"/>
        <v>90.931571093583457</v>
      </c>
      <c r="S29" s="313">
        <f t="shared" si="37"/>
        <v>90.931571093583457</v>
      </c>
      <c r="T29" s="313">
        <f t="shared" si="37"/>
        <v>90.931571093583457</v>
      </c>
      <c r="U29" s="313">
        <f t="shared" si="37"/>
        <v>90.931571093583457</v>
      </c>
      <c r="V29" s="314">
        <f t="shared" ref="V29" si="38">V25*0.14</f>
        <v>1702.4</v>
      </c>
    </row>
    <row r="30" spans="1:22" s="315" customFormat="1" x14ac:dyDescent="0.35">
      <c r="A30" s="316" t="s">
        <v>31</v>
      </c>
      <c r="B30" s="316"/>
      <c r="C30" s="317">
        <v>1720</v>
      </c>
      <c r="D30" s="317">
        <v>1720</v>
      </c>
      <c r="E30" s="317">
        <v>1720</v>
      </c>
      <c r="F30" s="317">
        <v>1720</v>
      </c>
      <c r="G30" s="317">
        <v>1720</v>
      </c>
      <c r="H30" s="317">
        <v>1720</v>
      </c>
      <c r="I30" s="317">
        <v>1720</v>
      </c>
      <c r="J30" s="317">
        <v>1720</v>
      </c>
      <c r="K30" s="317">
        <v>1720</v>
      </c>
      <c r="L30" s="306">
        <v>1720</v>
      </c>
      <c r="M30" s="317">
        <v>1720</v>
      </c>
      <c r="N30" s="317">
        <v>1720</v>
      </c>
      <c r="O30" s="317">
        <v>1720</v>
      </c>
      <c r="P30" s="317">
        <v>1720</v>
      </c>
      <c r="Q30" s="317">
        <v>1720</v>
      </c>
      <c r="R30" s="317">
        <v>1720</v>
      </c>
      <c r="S30" s="317">
        <v>1720</v>
      </c>
      <c r="T30" s="317">
        <v>1720</v>
      </c>
      <c r="U30" s="317">
        <v>1720</v>
      </c>
      <c r="V30" s="309">
        <v>32680</v>
      </c>
    </row>
    <row r="31" spans="1:22" s="318" customFormat="1" x14ac:dyDescent="0.35">
      <c r="A31" s="318" t="s">
        <v>20</v>
      </c>
      <c r="B31" s="312">
        <v>0.10735331796054318</v>
      </c>
      <c r="C31" s="313">
        <f>C30*$B$31</f>
        <v>184.64770689213427</v>
      </c>
      <c r="D31" s="313">
        <f t="shared" ref="D31:U31" si="39">D30*$B$31</f>
        <v>184.64770689213427</v>
      </c>
      <c r="E31" s="313">
        <f t="shared" si="39"/>
        <v>184.64770689213427</v>
      </c>
      <c r="F31" s="313">
        <f t="shared" si="39"/>
        <v>184.64770689213427</v>
      </c>
      <c r="G31" s="313">
        <f t="shared" si="39"/>
        <v>184.64770689213427</v>
      </c>
      <c r="H31" s="313">
        <f t="shared" si="39"/>
        <v>184.64770689213427</v>
      </c>
      <c r="I31" s="313">
        <f t="shared" si="39"/>
        <v>184.64770689213427</v>
      </c>
      <c r="J31" s="313">
        <f t="shared" si="39"/>
        <v>184.64770689213427</v>
      </c>
      <c r="K31" s="313">
        <f t="shared" si="39"/>
        <v>184.64770689213427</v>
      </c>
      <c r="L31" s="304">
        <f t="shared" si="39"/>
        <v>184.64770689213427</v>
      </c>
      <c r="M31" s="313">
        <f t="shared" si="39"/>
        <v>184.64770689213427</v>
      </c>
      <c r="N31" s="313">
        <f t="shared" si="39"/>
        <v>184.64770689213427</v>
      </c>
      <c r="O31" s="313">
        <f t="shared" si="39"/>
        <v>184.64770689213427</v>
      </c>
      <c r="P31" s="313">
        <f t="shared" si="39"/>
        <v>184.64770689213427</v>
      </c>
      <c r="Q31" s="313">
        <f t="shared" si="39"/>
        <v>184.64770689213427</v>
      </c>
      <c r="R31" s="313">
        <f t="shared" si="39"/>
        <v>184.64770689213427</v>
      </c>
      <c r="S31" s="313">
        <f t="shared" si="39"/>
        <v>184.64770689213427</v>
      </c>
      <c r="T31" s="313">
        <f t="shared" si="39"/>
        <v>184.64770689213427</v>
      </c>
      <c r="U31" s="313">
        <f t="shared" si="39"/>
        <v>184.64770689213427</v>
      </c>
      <c r="V31" s="314">
        <f t="shared" ref="V31" si="40">V30*0.11</f>
        <v>3594.8</v>
      </c>
    </row>
    <row r="32" spans="1:22" s="318" customFormat="1" x14ac:dyDescent="0.35">
      <c r="A32" s="318" t="s">
        <v>21</v>
      </c>
      <c r="B32" s="312">
        <v>0.27773507558288496</v>
      </c>
      <c r="C32" s="313">
        <f>C30*$B$32</f>
        <v>477.70433000256213</v>
      </c>
      <c r="D32" s="313">
        <f t="shared" ref="D32:U32" si="41">D30*$B$32</f>
        <v>477.70433000256213</v>
      </c>
      <c r="E32" s="313">
        <f t="shared" si="41"/>
        <v>477.70433000256213</v>
      </c>
      <c r="F32" s="313">
        <f t="shared" si="41"/>
        <v>477.70433000256213</v>
      </c>
      <c r="G32" s="313">
        <f t="shared" si="41"/>
        <v>477.70433000256213</v>
      </c>
      <c r="H32" s="313">
        <f t="shared" si="41"/>
        <v>477.70433000256213</v>
      </c>
      <c r="I32" s="313">
        <f t="shared" si="41"/>
        <v>477.70433000256213</v>
      </c>
      <c r="J32" s="313">
        <f t="shared" si="41"/>
        <v>477.70433000256213</v>
      </c>
      <c r="K32" s="313">
        <f t="shared" si="41"/>
        <v>477.70433000256213</v>
      </c>
      <c r="L32" s="304">
        <f t="shared" si="41"/>
        <v>477.70433000256213</v>
      </c>
      <c r="M32" s="313">
        <f t="shared" si="41"/>
        <v>477.70433000256213</v>
      </c>
      <c r="N32" s="313">
        <f t="shared" si="41"/>
        <v>477.70433000256213</v>
      </c>
      <c r="O32" s="313">
        <f t="shared" si="41"/>
        <v>477.70433000256213</v>
      </c>
      <c r="P32" s="313">
        <f t="shared" si="41"/>
        <v>477.70433000256213</v>
      </c>
      <c r="Q32" s="313">
        <f t="shared" si="41"/>
        <v>477.70433000256213</v>
      </c>
      <c r="R32" s="313">
        <f t="shared" si="41"/>
        <v>477.70433000256213</v>
      </c>
      <c r="S32" s="313">
        <f t="shared" si="41"/>
        <v>477.70433000256213</v>
      </c>
      <c r="T32" s="313">
        <f t="shared" si="41"/>
        <v>477.70433000256213</v>
      </c>
      <c r="U32" s="313">
        <f t="shared" si="41"/>
        <v>477.70433000256213</v>
      </c>
      <c r="V32" s="314">
        <f t="shared" ref="V32" si="42">V30*0.28</f>
        <v>9150.4000000000015</v>
      </c>
    </row>
    <row r="33" spans="1:25" s="318" customFormat="1" x14ac:dyDescent="0.35">
      <c r="A33" s="318" t="s">
        <v>26</v>
      </c>
      <c r="B33" s="312">
        <v>0.30813903834657103</v>
      </c>
      <c r="C33" s="313">
        <f>C30*$B$33</f>
        <v>529.99914595610221</v>
      </c>
      <c r="D33" s="313">
        <f t="shared" ref="D33:U33" si="43">D30*$B$33</f>
        <v>529.99914595610221</v>
      </c>
      <c r="E33" s="313">
        <f t="shared" si="43"/>
        <v>529.99914595610221</v>
      </c>
      <c r="F33" s="313">
        <f t="shared" si="43"/>
        <v>529.99914595610221</v>
      </c>
      <c r="G33" s="313">
        <f t="shared" si="43"/>
        <v>529.99914595610221</v>
      </c>
      <c r="H33" s="313">
        <f t="shared" si="43"/>
        <v>529.99914595610221</v>
      </c>
      <c r="I33" s="313">
        <f t="shared" si="43"/>
        <v>529.99914595610221</v>
      </c>
      <c r="J33" s="313">
        <f t="shared" si="43"/>
        <v>529.99914595610221</v>
      </c>
      <c r="K33" s="313">
        <f t="shared" si="43"/>
        <v>529.99914595610221</v>
      </c>
      <c r="L33" s="304">
        <f t="shared" si="43"/>
        <v>529.99914595610221</v>
      </c>
      <c r="M33" s="313">
        <f t="shared" si="43"/>
        <v>529.99914595610221</v>
      </c>
      <c r="N33" s="313">
        <f t="shared" si="43"/>
        <v>529.99914595610221</v>
      </c>
      <c r="O33" s="313">
        <f t="shared" si="43"/>
        <v>529.99914595610221</v>
      </c>
      <c r="P33" s="313">
        <f t="shared" si="43"/>
        <v>529.99914595610221</v>
      </c>
      <c r="Q33" s="313">
        <f t="shared" si="43"/>
        <v>529.99914595610221</v>
      </c>
      <c r="R33" s="313">
        <f t="shared" si="43"/>
        <v>529.99914595610221</v>
      </c>
      <c r="S33" s="313">
        <f t="shared" si="43"/>
        <v>529.99914595610221</v>
      </c>
      <c r="T33" s="313">
        <f t="shared" si="43"/>
        <v>529.99914595610221</v>
      </c>
      <c r="U33" s="313">
        <f t="shared" si="43"/>
        <v>529.99914595610221</v>
      </c>
      <c r="V33" s="314">
        <f t="shared" ref="V33" si="44">V30*0.31</f>
        <v>10130.799999999999</v>
      </c>
    </row>
    <row r="34" spans="1:25" s="318" customFormat="1" x14ac:dyDescent="0.35">
      <c r="A34" s="318" t="s">
        <v>22</v>
      </c>
      <c r="B34" s="312">
        <v>0.30685797249978647</v>
      </c>
      <c r="C34" s="313">
        <f>C30*$B$34</f>
        <v>527.79571269963276</v>
      </c>
      <c r="D34" s="313">
        <f t="shared" ref="D34:U34" si="45">D30*$B$34</f>
        <v>527.79571269963276</v>
      </c>
      <c r="E34" s="313">
        <f t="shared" si="45"/>
        <v>527.79571269963276</v>
      </c>
      <c r="F34" s="313">
        <f t="shared" si="45"/>
        <v>527.79571269963276</v>
      </c>
      <c r="G34" s="313">
        <f t="shared" si="45"/>
        <v>527.79571269963276</v>
      </c>
      <c r="H34" s="313">
        <f t="shared" si="45"/>
        <v>527.79571269963276</v>
      </c>
      <c r="I34" s="313">
        <f t="shared" si="45"/>
        <v>527.79571269963276</v>
      </c>
      <c r="J34" s="313">
        <f t="shared" si="45"/>
        <v>527.79571269963276</v>
      </c>
      <c r="K34" s="313">
        <f t="shared" si="45"/>
        <v>527.79571269963276</v>
      </c>
      <c r="L34" s="304">
        <f t="shared" si="45"/>
        <v>527.79571269963276</v>
      </c>
      <c r="M34" s="313">
        <f t="shared" si="45"/>
        <v>527.79571269963276</v>
      </c>
      <c r="N34" s="313">
        <f t="shared" si="45"/>
        <v>527.79571269963276</v>
      </c>
      <c r="O34" s="313">
        <f t="shared" si="45"/>
        <v>527.79571269963276</v>
      </c>
      <c r="P34" s="313">
        <f t="shared" si="45"/>
        <v>527.79571269963276</v>
      </c>
      <c r="Q34" s="313">
        <f t="shared" si="45"/>
        <v>527.79571269963276</v>
      </c>
      <c r="R34" s="313">
        <f t="shared" si="45"/>
        <v>527.79571269963276</v>
      </c>
      <c r="S34" s="313">
        <f t="shared" si="45"/>
        <v>527.79571269963276</v>
      </c>
      <c r="T34" s="313">
        <f t="shared" si="45"/>
        <v>527.79571269963276</v>
      </c>
      <c r="U34" s="313">
        <f t="shared" si="45"/>
        <v>527.79571269963276</v>
      </c>
      <c r="V34" s="314">
        <f t="shared" ref="V34" si="46">V30*0.31</f>
        <v>10130.799999999999</v>
      </c>
    </row>
    <row r="35" spans="1:25" x14ac:dyDescent="0.35">
      <c r="A35" s="45" t="s">
        <v>32</v>
      </c>
      <c r="B35" s="61"/>
      <c r="C35" s="50">
        <v>764</v>
      </c>
      <c r="D35" s="50">
        <v>764</v>
      </c>
      <c r="E35" s="50">
        <v>764</v>
      </c>
      <c r="F35" s="50">
        <v>764</v>
      </c>
      <c r="G35" s="50">
        <v>764</v>
      </c>
      <c r="H35" s="50">
        <v>764</v>
      </c>
      <c r="I35" s="317">
        <v>764</v>
      </c>
      <c r="J35" s="50">
        <v>764</v>
      </c>
      <c r="K35" s="50">
        <v>764</v>
      </c>
      <c r="L35" s="306">
        <v>764</v>
      </c>
      <c r="M35" s="50">
        <v>764</v>
      </c>
      <c r="N35" s="50">
        <v>764</v>
      </c>
      <c r="O35" s="50">
        <v>764</v>
      </c>
      <c r="P35" s="50">
        <v>764</v>
      </c>
      <c r="Q35" s="50">
        <v>764</v>
      </c>
      <c r="R35" s="50">
        <v>764</v>
      </c>
      <c r="S35" s="50">
        <v>764</v>
      </c>
      <c r="T35" s="50">
        <v>764</v>
      </c>
      <c r="U35" s="50">
        <v>764</v>
      </c>
      <c r="V35" s="54">
        <v>14520</v>
      </c>
    </row>
    <row r="36" spans="1:25" x14ac:dyDescent="0.35">
      <c r="A36" s="62" t="s">
        <v>20</v>
      </c>
      <c r="B36" s="69">
        <v>0.23724331051649036</v>
      </c>
      <c r="C36" s="52">
        <f>C35*$B$36</f>
        <v>181.25388923459863</v>
      </c>
      <c r="D36" s="52">
        <f t="shared" ref="D36:U36" si="47">D35*$B$36</f>
        <v>181.25388923459863</v>
      </c>
      <c r="E36" s="52">
        <f t="shared" si="47"/>
        <v>181.25388923459863</v>
      </c>
      <c r="F36" s="52">
        <f t="shared" si="47"/>
        <v>181.25388923459863</v>
      </c>
      <c r="G36" s="52">
        <f t="shared" si="47"/>
        <v>181.25388923459863</v>
      </c>
      <c r="H36" s="52">
        <f t="shared" si="47"/>
        <v>181.25388923459863</v>
      </c>
      <c r="I36" s="313">
        <f t="shared" si="47"/>
        <v>181.25388923459863</v>
      </c>
      <c r="J36" s="52">
        <f t="shared" si="47"/>
        <v>181.25388923459863</v>
      </c>
      <c r="K36" s="52">
        <f t="shared" si="47"/>
        <v>181.25388923459863</v>
      </c>
      <c r="L36" s="304">
        <f t="shared" si="47"/>
        <v>181.25388923459863</v>
      </c>
      <c r="M36" s="52">
        <f t="shared" si="47"/>
        <v>181.25388923459863</v>
      </c>
      <c r="N36" s="52">
        <f t="shared" si="47"/>
        <v>181.25388923459863</v>
      </c>
      <c r="O36" s="52">
        <f t="shared" si="47"/>
        <v>181.25388923459863</v>
      </c>
      <c r="P36" s="52">
        <f t="shared" si="47"/>
        <v>181.25388923459863</v>
      </c>
      <c r="Q36" s="52">
        <f t="shared" si="47"/>
        <v>181.25388923459863</v>
      </c>
      <c r="R36" s="52">
        <f t="shared" si="47"/>
        <v>181.25388923459863</v>
      </c>
      <c r="S36" s="52">
        <f t="shared" si="47"/>
        <v>181.25388923459863</v>
      </c>
      <c r="T36" s="52">
        <f t="shared" si="47"/>
        <v>181.25388923459863</v>
      </c>
      <c r="U36" s="52">
        <f t="shared" si="47"/>
        <v>181.25388923459863</v>
      </c>
      <c r="V36" s="71">
        <f t="shared" ref="V36" si="48">V35*0.24</f>
        <v>3484.7999999999997</v>
      </c>
    </row>
    <row r="37" spans="1:25" x14ac:dyDescent="0.35">
      <c r="A37" s="62" t="s">
        <v>21</v>
      </c>
      <c r="B37" s="69">
        <v>0.36729931549471062</v>
      </c>
      <c r="C37" s="52">
        <f>C35*$B$37</f>
        <v>280.61667703795894</v>
      </c>
      <c r="D37" s="52">
        <f t="shared" ref="D37:U37" si="49">D35*$B$37</f>
        <v>280.61667703795894</v>
      </c>
      <c r="E37" s="52">
        <f t="shared" si="49"/>
        <v>280.61667703795894</v>
      </c>
      <c r="F37" s="52">
        <f t="shared" si="49"/>
        <v>280.61667703795894</v>
      </c>
      <c r="G37" s="52">
        <f t="shared" si="49"/>
        <v>280.61667703795894</v>
      </c>
      <c r="H37" s="52">
        <f t="shared" si="49"/>
        <v>280.61667703795894</v>
      </c>
      <c r="I37" s="313">
        <f t="shared" si="49"/>
        <v>280.61667703795894</v>
      </c>
      <c r="J37" s="52">
        <f t="shared" si="49"/>
        <v>280.61667703795894</v>
      </c>
      <c r="K37" s="52">
        <f t="shared" si="49"/>
        <v>280.61667703795894</v>
      </c>
      <c r="L37" s="304">
        <f t="shared" si="49"/>
        <v>280.61667703795894</v>
      </c>
      <c r="M37" s="52">
        <f t="shared" si="49"/>
        <v>280.61667703795894</v>
      </c>
      <c r="N37" s="52">
        <f t="shared" si="49"/>
        <v>280.61667703795894</v>
      </c>
      <c r="O37" s="52">
        <f t="shared" si="49"/>
        <v>280.61667703795894</v>
      </c>
      <c r="P37" s="52">
        <f t="shared" si="49"/>
        <v>280.61667703795894</v>
      </c>
      <c r="Q37" s="52">
        <f t="shared" si="49"/>
        <v>280.61667703795894</v>
      </c>
      <c r="R37" s="52">
        <f t="shared" si="49"/>
        <v>280.61667703795894</v>
      </c>
      <c r="S37" s="52">
        <f t="shared" si="49"/>
        <v>280.61667703795894</v>
      </c>
      <c r="T37" s="52">
        <f t="shared" si="49"/>
        <v>280.61667703795894</v>
      </c>
      <c r="U37" s="52">
        <f t="shared" si="49"/>
        <v>280.61667703795894</v>
      </c>
      <c r="V37" s="71">
        <f t="shared" ref="V37" si="50">V35*0.37</f>
        <v>5372.4</v>
      </c>
    </row>
    <row r="38" spans="1:25" x14ac:dyDescent="0.35">
      <c r="A38" s="62" t="s">
        <v>26</v>
      </c>
      <c r="B38" s="69">
        <v>0.23242065961418792</v>
      </c>
      <c r="C38" s="52">
        <f>C35*$B$38</f>
        <v>177.56938394523957</v>
      </c>
      <c r="D38" s="52">
        <f t="shared" ref="D38:U38" si="51">D35*$B$38</f>
        <v>177.56938394523957</v>
      </c>
      <c r="E38" s="52">
        <f t="shared" si="51"/>
        <v>177.56938394523957</v>
      </c>
      <c r="F38" s="52">
        <f t="shared" si="51"/>
        <v>177.56938394523957</v>
      </c>
      <c r="G38" s="52">
        <f t="shared" si="51"/>
        <v>177.56938394523957</v>
      </c>
      <c r="H38" s="52">
        <f t="shared" si="51"/>
        <v>177.56938394523957</v>
      </c>
      <c r="I38" s="313">
        <f t="shared" si="51"/>
        <v>177.56938394523957</v>
      </c>
      <c r="J38" s="52">
        <f t="shared" si="51"/>
        <v>177.56938394523957</v>
      </c>
      <c r="K38" s="52">
        <f t="shared" si="51"/>
        <v>177.56938394523957</v>
      </c>
      <c r="L38" s="304">
        <f t="shared" si="51"/>
        <v>177.56938394523957</v>
      </c>
      <c r="M38" s="52">
        <f t="shared" si="51"/>
        <v>177.56938394523957</v>
      </c>
      <c r="N38" s="52">
        <f t="shared" si="51"/>
        <v>177.56938394523957</v>
      </c>
      <c r="O38" s="52">
        <f t="shared" si="51"/>
        <v>177.56938394523957</v>
      </c>
      <c r="P38" s="52">
        <f t="shared" si="51"/>
        <v>177.56938394523957</v>
      </c>
      <c r="Q38" s="52">
        <f t="shared" si="51"/>
        <v>177.56938394523957</v>
      </c>
      <c r="R38" s="52">
        <f t="shared" si="51"/>
        <v>177.56938394523957</v>
      </c>
      <c r="S38" s="52">
        <f t="shared" si="51"/>
        <v>177.56938394523957</v>
      </c>
      <c r="T38" s="52">
        <f t="shared" si="51"/>
        <v>177.56938394523957</v>
      </c>
      <c r="U38" s="52">
        <f t="shared" si="51"/>
        <v>177.56938394523957</v>
      </c>
      <c r="V38" s="71">
        <f t="shared" ref="V38" si="52">V35*0.23</f>
        <v>3339.6000000000004</v>
      </c>
    </row>
    <row r="39" spans="1:25" x14ac:dyDescent="0.35">
      <c r="A39" s="62" t="s">
        <v>22</v>
      </c>
      <c r="B39" s="69">
        <v>0.16303671437461106</v>
      </c>
      <c r="C39" s="52">
        <f>C35*$B$39</f>
        <v>124.56004978220285</v>
      </c>
      <c r="D39" s="52">
        <f t="shared" ref="D39:U39" si="53">D35*$B$39</f>
        <v>124.56004978220285</v>
      </c>
      <c r="E39" s="52">
        <f t="shared" si="53"/>
        <v>124.56004978220285</v>
      </c>
      <c r="F39" s="52">
        <f t="shared" si="53"/>
        <v>124.56004978220285</v>
      </c>
      <c r="G39" s="52">
        <f t="shared" si="53"/>
        <v>124.56004978220285</v>
      </c>
      <c r="H39" s="52">
        <f t="shared" si="53"/>
        <v>124.56004978220285</v>
      </c>
      <c r="I39" s="313">
        <f t="shared" si="53"/>
        <v>124.56004978220285</v>
      </c>
      <c r="J39" s="52">
        <f t="shared" si="53"/>
        <v>124.56004978220285</v>
      </c>
      <c r="K39" s="52">
        <f t="shared" si="53"/>
        <v>124.56004978220285</v>
      </c>
      <c r="L39" s="304">
        <f t="shared" si="53"/>
        <v>124.56004978220285</v>
      </c>
      <c r="M39" s="52">
        <f t="shared" si="53"/>
        <v>124.56004978220285</v>
      </c>
      <c r="N39" s="52">
        <f t="shared" si="53"/>
        <v>124.56004978220285</v>
      </c>
      <c r="O39" s="52">
        <f t="shared" si="53"/>
        <v>124.56004978220285</v>
      </c>
      <c r="P39" s="52">
        <f t="shared" si="53"/>
        <v>124.56004978220285</v>
      </c>
      <c r="Q39" s="52">
        <f t="shared" si="53"/>
        <v>124.56004978220285</v>
      </c>
      <c r="R39" s="52">
        <f t="shared" si="53"/>
        <v>124.56004978220285</v>
      </c>
      <c r="S39" s="52">
        <f t="shared" si="53"/>
        <v>124.56004978220285</v>
      </c>
      <c r="T39" s="52">
        <f t="shared" si="53"/>
        <v>124.56004978220285</v>
      </c>
      <c r="U39" s="52">
        <f t="shared" si="53"/>
        <v>124.56004978220285</v>
      </c>
      <c r="V39" s="71">
        <f t="shared" ref="V39" si="54">V35*0.16</f>
        <v>2323.2000000000003</v>
      </c>
    </row>
    <row r="40" spans="1:25" x14ac:dyDescent="0.35">
      <c r="A40" s="45" t="s">
        <v>33</v>
      </c>
      <c r="B40" s="61"/>
      <c r="C40" s="50">
        <v>466</v>
      </c>
      <c r="D40" s="50">
        <v>466</v>
      </c>
      <c r="E40" s="50">
        <v>466</v>
      </c>
      <c r="F40" s="50">
        <v>466</v>
      </c>
      <c r="G40" s="50">
        <v>466</v>
      </c>
      <c r="H40" s="50">
        <v>466</v>
      </c>
      <c r="I40" s="317">
        <v>466</v>
      </c>
      <c r="J40" s="50">
        <v>466</v>
      </c>
      <c r="K40" s="50">
        <v>466</v>
      </c>
      <c r="L40" s="306">
        <v>466</v>
      </c>
      <c r="M40" s="50">
        <v>466</v>
      </c>
      <c r="N40" s="50">
        <v>466</v>
      </c>
      <c r="O40" s="50">
        <v>466</v>
      </c>
      <c r="P40" s="50">
        <v>466</v>
      </c>
      <c r="Q40" s="50">
        <v>466</v>
      </c>
      <c r="R40" s="50">
        <v>466</v>
      </c>
      <c r="S40" s="50">
        <v>466</v>
      </c>
      <c r="T40" s="50">
        <v>466</v>
      </c>
      <c r="U40" s="50">
        <v>466</v>
      </c>
      <c r="V40" s="54">
        <v>8850</v>
      </c>
    </row>
    <row r="41" spans="1:25" x14ac:dyDescent="0.35">
      <c r="A41" s="62" t="s">
        <v>20</v>
      </c>
      <c r="B41" s="69">
        <v>0.15509922006121038</v>
      </c>
      <c r="C41" s="52">
        <f>C40*$B$41</f>
        <v>72.276236548524039</v>
      </c>
      <c r="D41" s="52">
        <f t="shared" ref="D41:U41" si="55">D40*$B$41</f>
        <v>72.276236548524039</v>
      </c>
      <c r="E41" s="52">
        <f t="shared" si="55"/>
        <v>72.276236548524039</v>
      </c>
      <c r="F41" s="52">
        <f t="shared" si="55"/>
        <v>72.276236548524039</v>
      </c>
      <c r="G41" s="52">
        <f t="shared" si="55"/>
        <v>72.276236548524039</v>
      </c>
      <c r="H41" s="52">
        <f t="shared" si="55"/>
        <v>72.276236548524039</v>
      </c>
      <c r="I41" s="313">
        <f t="shared" si="55"/>
        <v>72.276236548524039</v>
      </c>
      <c r="J41" s="52">
        <f t="shared" si="55"/>
        <v>72.276236548524039</v>
      </c>
      <c r="K41" s="52">
        <f t="shared" si="55"/>
        <v>72.276236548524039</v>
      </c>
      <c r="L41" s="304">
        <f t="shared" si="55"/>
        <v>72.276236548524039</v>
      </c>
      <c r="M41" s="52">
        <f t="shared" si="55"/>
        <v>72.276236548524039</v>
      </c>
      <c r="N41" s="52">
        <f t="shared" si="55"/>
        <v>72.276236548524039</v>
      </c>
      <c r="O41" s="52">
        <f t="shared" si="55"/>
        <v>72.276236548524039</v>
      </c>
      <c r="P41" s="52">
        <f t="shared" si="55"/>
        <v>72.276236548524039</v>
      </c>
      <c r="Q41" s="52">
        <f t="shared" si="55"/>
        <v>72.276236548524039</v>
      </c>
      <c r="R41" s="52">
        <f t="shared" si="55"/>
        <v>72.276236548524039</v>
      </c>
      <c r="S41" s="52">
        <f t="shared" si="55"/>
        <v>72.276236548524039</v>
      </c>
      <c r="T41" s="52">
        <f t="shared" si="55"/>
        <v>72.276236548524039</v>
      </c>
      <c r="U41" s="52">
        <f t="shared" si="55"/>
        <v>72.276236548524039</v>
      </c>
      <c r="V41" s="71">
        <f t="shared" ref="V41" si="56">V40*0.16</f>
        <v>1416</v>
      </c>
      <c r="Y41" s="70"/>
    </row>
    <row r="42" spans="1:25" x14ac:dyDescent="0.35">
      <c r="A42" s="62" t="s">
        <v>21</v>
      </c>
      <c r="B42" s="69">
        <v>0.29943725935432913</v>
      </c>
      <c r="C42" s="52">
        <f>C40*$B$42</f>
        <v>139.53776285911738</v>
      </c>
      <c r="D42" s="52">
        <f t="shared" ref="D42:U42" si="57">D40*$B$42</f>
        <v>139.53776285911738</v>
      </c>
      <c r="E42" s="52">
        <f t="shared" si="57"/>
        <v>139.53776285911738</v>
      </c>
      <c r="F42" s="52">
        <f t="shared" si="57"/>
        <v>139.53776285911738</v>
      </c>
      <c r="G42" s="52">
        <f t="shared" si="57"/>
        <v>139.53776285911738</v>
      </c>
      <c r="H42" s="52">
        <f t="shared" si="57"/>
        <v>139.53776285911738</v>
      </c>
      <c r="I42" s="313">
        <f t="shared" si="57"/>
        <v>139.53776285911738</v>
      </c>
      <c r="J42" s="52">
        <f t="shared" si="57"/>
        <v>139.53776285911738</v>
      </c>
      <c r="K42" s="52">
        <f t="shared" si="57"/>
        <v>139.53776285911738</v>
      </c>
      <c r="L42" s="304">
        <f t="shared" si="57"/>
        <v>139.53776285911738</v>
      </c>
      <c r="M42" s="52">
        <f t="shared" si="57"/>
        <v>139.53776285911738</v>
      </c>
      <c r="N42" s="52">
        <f t="shared" si="57"/>
        <v>139.53776285911738</v>
      </c>
      <c r="O42" s="52">
        <f t="shared" si="57"/>
        <v>139.53776285911738</v>
      </c>
      <c r="P42" s="52">
        <f t="shared" si="57"/>
        <v>139.53776285911738</v>
      </c>
      <c r="Q42" s="52">
        <f t="shared" si="57"/>
        <v>139.53776285911738</v>
      </c>
      <c r="R42" s="52">
        <f t="shared" si="57"/>
        <v>139.53776285911738</v>
      </c>
      <c r="S42" s="52">
        <f t="shared" si="57"/>
        <v>139.53776285911738</v>
      </c>
      <c r="T42" s="52">
        <f t="shared" si="57"/>
        <v>139.53776285911738</v>
      </c>
      <c r="U42" s="52">
        <f t="shared" si="57"/>
        <v>139.53776285911738</v>
      </c>
      <c r="V42" s="71">
        <f t="shared" ref="V42" si="58">V40*0.3</f>
        <v>2655</v>
      </c>
      <c r="Y42" s="70"/>
    </row>
    <row r="43" spans="1:25" x14ac:dyDescent="0.35">
      <c r="A43" s="62" t="s">
        <v>26</v>
      </c>
      <c r="B43" s="69">
        <v>0.39105538552670549</v>
      </c>
      <c r="C43" s="52">
        <f>C40*$B$43</f>
        <v>182.23180965544475</v>
      </c>
      <c r="D43" s="52">
        <f t="shared" ref="D43:U43" si="59">D40*$B$43</f>
        <v>182.23180965544475</v>
      </c>
      <c r="E43" s="52">
        <f t="shared" si="59"/>
        <v>182.23180965544475</v>
      </c>
      <c r="F43" s="52">
        <f t="shared" si="59"/>
        <v>182.23180965544475</v>
      </c>
      <c r="G43" s="52">
        <f t="shared" si="59"/>
        <v>182.23180965544475</v>
      </c>
      <c r="H43" s="52">
        <f t="shared" si="59"/>
        <v>182.23180965544475</v>
      </c>
      <c r="I43" s="313">
        <f t="shared" si="59"/>
        <v>182.23180965544475</v>
      </c>
      <c r="J43" s="52">
        <f t="shared" si="59"/>
        <v>182.23180965544475</v>
      </c>
      <c r="K43" s="52">
        <f t="shared" si="59"/>
        <v>182.23180965544475</v>
      </c>
      <c r="L43" s="304">
        <f t="shared" si="59"/>
        <v>182.23180965544475</v>
      </c>
      <c r="M43" s="52">
        <f t="shared" si="59"/>
        <v>182.23180965544475</v>
      </c>
      <c r="N43" s="52">
        <f t="shared" si="59"/>
        <v>182.23180965544475</v>
      </c>
      <c r="O43" s="52">
        <f t="shared" si="59"/>
        <v>182.23180965544475</v>
      </c>
      <c r="P43" s="52">
        <f t="shared" si="59"/>
        <v>182.23180965544475</v>
      </c>
      <c r="Q43" s="52">
        <f t="shared" si="59"/>
        <v>182.23180965544475</v>
      </c>
      <c r="R43" s="52">
        <f t="shared" si="59"/>
        <v>182.23180965544475</v>
      </c>
      <c r="S43" s="52">
        <f t="shared" si="59"/>
        <v>182.23180965544475</v>
      </c>
      <c r="T43" s="52">
        <f t="shared" si="59"/>
        <v>182.23180965544475</v>
      </c>
      <c r="U43" s="52">
        <f t="shared" si="59"/>
        <v>182.23180965544475</v>
      </c>
      <c r="V43" s="71">
        <f t="shared" ref="V43" si="60">V40*0.39</f>
        <v>3451.5</v>
      </c>
      <c r="Y43" s="70"/>
    </row>
    <row r="44" spans="1:25" x14ac:dyDescent="0.35">
      <c r="A44" s="62" t="s">
        <v>22</v>
      </c>
      <c r="B44" s="69">
        <v>0.15440813505775497</v>
      </c>
      <c r="C44" s="52">
        <f>C40*$B$44</f>
        <v>71.954190936913818</v>
      </c>
      <c r="D44" s="52">
        <f t="shared" ref="D44:U44" si="61">D40*$B$44</f>
        <v>71.954190936913818</v>
      </c>
      <c r="E44" s="52">
        <f t="shared" si="61"/>
        <v>71.954190936913818</v>
      </c>
      <c r="F44" s="52">
        <f t="shared" si="61"/>
        <v>71.954190936913818</v>
      </c>
      <c r="G44" s="52">
        <f t="shared" si="61"/>
        <v>71.954190936913818</v>
      </c>
      <c r="H44" s="52">
        <f t="shared" si="61"/>
        <v>71.954190936913818</v>
      </c>
      <c r="I44" s="313">
        <f t="shared" si="61"/>
        <v>71.954190936913818</v>
      </c>
      <c r="J44" s="52">
        <f t="shared" si="61"/>
        <v>71.954190936913818</v>
      </c>
      <c r="K44" s="52">
        <f t="shared" si="61"/>
        <v>71.954190936913818</v>
      </c>
      <c r="L44" s="304">
        <f t="shared" si="61"/>
        <v>71.954190936913818</v>
      </c>
      <c r="M44" s="52">
        <f t="shared" si="61"/>
        <v>71.954190936913818</v>
      </c>
      <c r="N44" s="52">
        <f t="shared" si="61"/>
        <v>71.954190936913818</v>
      </c>
      <c r="O44" s="52">
        <f t="shared" si="61"/>
        <v>71.954190936913818</v>
      </c>
      <c r="P44" s="52">
        <f t="shared" si="61"/>
        <v>71.954190936913818</v>
      </c>
      <c r="Q44" s="52">
        <f t="shared" si="61"/>
        <v>71.954190936913818</v>
      </c>
      <c r="R44" s="52">
        <f t="shared" si="61"/>
        <v>71.954190936913818</v>
      </c>
      <c r="S44" s="52">
        <f t="shared" si="61"/>
        <v>71.954190936913818</v>
      </c>
      <c r="T44" s="52">
        <f t="shared" si="61"/>
        <v>71.954190936913818</v>
      </c>
      <c r="U44" s="52">
        <f t="shared" si="61"/>
        <v>71.954190936913818</v>
      </c>
      <c r="V44" s="71">
        <f t="shared" ref="V44" si="62">V40*0.15</f>
        <v>1327.5</v>
      </c>
    </row>
    <row r="45" spans="1:25" x14ac:dyDescent="0.35">
      <c r="A45" s="45" t="s">
        <v>34</v>
      </c>
      <c r="B45" s="61"/>
      <c r="C45" s="50">
        <v>1015</v>
      </c>
      <c r="D45" s="50">
        <v>1015</v>
      </c>
      <c r="E45" s="50">
        <v>1015</v>
      </c>
      <c r="F45" s="50">
        <v>1015</v>
      </c>
      <c r="G45" s="50">
        <v>1015</v>
      </c>
      <c r="H45" s="50">
        <v>1015</v>
      </c>
      <c r="I45" s="317">
        <v>1015</v>
      </c>
      <c r="J45" s="50">
        <v>1015</v>
      </c>
      <c r="K45" s="50">
        <v>1015</v>
      </c>
      <c r="L45" s="306">
        <v>1015</v>
      </c>
      <c r="M45" s="50">
        <v>1015</v>
      </c>
      <c r="N45" s="50">
        <v>1015</v>
      </c>
      <c r="O45" s="50">
        <v>1015</v>
      </c>
      <c r="P45" s="50">
        <v>1015</v>
      </c>
      <c r="Q45" s="50">
        <v>1015</v>
      </c>
      <c r="R45" s="50">
        <v>1015</v>
      </c>
      <c r="S45" s="50">
        <v>1015</v>
      </c>
      <c r="T45" s="50">
        <v>1015</v>
      </c>
      <c r="U45" s="50">
        <v>1015</v>
      </c>
      <c r="V45" s="54">
        <v>19280</v>
      </c>
    </row>
    <row r="46" spans="1:25" x14ac:dyDescent="0.35">
      <c r="A46" s="62" t="s">
        <v>20</v>
      </c>
      <c r="B46" s="69">
        <v>0.16541277961681211</v>
      </c>
      <c r="C46" s="52">
        <f>C45*$B$46</f>
        <v>167.89397131106429</v>
      </c>
      <c r="D46" s="52">
        <f t="shared" ref="D46:U46" si="63">D45*$B$46</f>
        <v>167.89397131106429</v>
      </c>
      <c r="E46" s="52">
        <f t="shared" si="63"/>
        <v>167.89397131106429</v>
      </c>
      <c r="F46" s="52">
        <f t="shared" si="63"/>
        <v>167.89397131106429</v>
      </c>
      <c r="G46" s="52">
        <f t="shared" si="63"/>
        <v>167.89397131106429</v>
      </c>
      <c r="H46" s="52">
        <f t="shared" si="63"/>
        <v>167.89397131106429</v>
      </c>
      <c r="I46" s="313">
        <f t="shared" si="63"/>
        <v>167.89397131106429</v>
      </c>
      <c r="J46" s="52">
        <f t="shared" si="63"/>
        <v>167.89397131106429</v>
      </c>
      <c r="K46" s="52">
        <f t="shared" si="63"/>
        <v>167.89397131106429</v>
      </c>
      <c r="L46" s="304">
        <f t="shared" si="63"/>
        <v>167.89397131106429</v>
      </c>
      <c r="M46" s="52">
        <f t="shared" si="63"/>
        <v>167.89397131106429</v>
      </c>
      <c r="N46" s="52">
        <f t="shared" si="63"/>
        <v>167.89397131106429</v>
      </c>
      <c r="O46" s="52">
        <f t="shared" si="63"/>
        <v>167.89397131106429</v>
      </c>
      <c r="P46" s="52">
        <f t="shared" si="63"/>
        <v>167.89397131106429</v>
      </c>
      <c r="Q46" s="52">
        <f t="shared" si="63"/>
        <v>167.89397131106429</v>
      </c>
      <c r="R46" s="52">
        <f t="shared" si="63"/>
        <v>167.89397131106429</v>
      </c>
      <c r="S46" s="52">
        <f t="shared" si="63"/>
        <v>167.89397131106429</v>
      </c>
      <c r="T46" s="52">
        <f t="shared" si="63"/>
        <v>167.89397131106429</v>
      </c>
      <c r="U46" s="52">
        <f t="shared" si="63"/>
        <v>167.89397131106429</v>
      </c>
      <c r="V46" s="71">
        <f t="shared" ref="V46" si="64">V45*0.17</f>
        <v>3277.6000000000004</v>
      </c>
    </row>
    <row r="47" spans="1:25" x14ac:dyDescent="0.35">
      <c r="A47" s="62" t="s">
        <v>21</v>
      </c>
      <c r="B47" s="69">
        <v>0.39933794763767677</v>
      </c>
      <c r="C47" s="52">
        <f>C45*$B$47</f>
        <v>405.32801685224194</v>
      </c>
      <c r="D47" s="52">
        <f t="shared" ref="D47:U47" si="65">D45*$B$47</f>
        <v>405.32801685224194</v>
      </c>
      <c r="E47" s="52">
        <f t="shared" si="65"/>
        <v>405.32801685224194</v>
      </c>
      <c r="F47" s="52">
        <f t="shared" si="65"/>
        <v>405.32801685224194</v>
      </c>
      <c r="G47" s="52">
        <f t="shared" si="65"/>
        <v>405.32801685224194</v>
      </c>
      <c r="H47" s="52">
        <f t="shared" si="65"/>
        <v>405.32801685224194</v>
      </c>
      <c r="I47" s="313">
        <f t="shared" si="65"/>
        <v>405.32801685224194</v>
      </c>
      <c r="J47" s="52">
        <f t="shared" si="65"/>
        <v>405.32801685224194</v>
      </c>
      <c r="K47" s="52">
        <f t="shared" si="65"/>
        <v>405.32801685224194</v>
      </c>
      <c r="L47" s="304">
        <f t="shared" si="65"/>
        <v>405.32801685224194</v>
      </c>
      <c r="M47" s="52">
        <f t="shared" si="65"/>
        <v>405.32801685224194</v>
      </c>
      <c r="N47" s="52">
        <f t="shared" si="65"/>
        <v>405.32801685224194</v>
      </c>
      <c r="O47" s="52">
        <f t="shared" si="65"/>
        <v>405.32801685224194</v>
      </c>
      <c r="P47" s="52">
        <f t="shared" si="65"/>
        <v>405.32801685224194</v>
      </c>
      <c r="Q47" s="52">
        <f t="shared" si="65"/>
        <v>405.32801685224194</v>
      </c>
      <c r="R47" s="52">
        <f t="shared" si="65"/>
        <v>405.32801685224194</v>
      </c>
      <c r="S47" s="52">
        <f t="shared" si="65"/>
        <v>405.32801685224194</v>
      </c>
      <c r="T47" s="52">
        <f t="shared" si="65"/>
        <v>405.32801685224194</v>
      </c>
      <c r="U47" s="52">
        <f t="shared" si="65"/>
        <v>405.32801685224194</v>
      </c>
      <c r="V47" s="71">
        <f t="shared" ref="V47" si="66">V45*0.4</f>
        <v>7712</v>
      </c>
    </row>
    <row r="48" spans="1:25" x14ac:dyDescent="0.35">
      <c r="A48" s="62" t="s">
        <v>26</v>
      </c>
      <c r="B48" s="69">
        <v>0.22439562644197011</v>
      </c>
      <c r="C48" s="52">
        <f>C45*$B$48</f>
        <v>227.76156083859968</v>
      </c>
      <c r="D48" s="52">
        <f t="shared" ref="D48:U48" si="67">D45*$B$48</f>
        <v>227.76156083859968</v>
      </c>
      <c r="E48" s="52">
        <f t="shared" si="67"/>
        <v>227.76156083859968</v>
      </c>
      <c r="F48" s="52">
        <f t="shared" si="67"/>
        <v>227.76156083859968</v>
      </c>
      <c r="G48" s="52">
        <f t="shared" si="67"/>
        <v>227.76156083859968</v>
      </c>
      <c r="H48" s="52">
        <f t="shared" si="67"/>
        <v>227.76156083859968</v>
      </c>
      <c r="I48" s="313">
        <f t="shared" si="67"/>
        <v>227.76156083859968</v>
      </c>
      <c r="J48" s="52">
        <f t="shared" si="67"/>
        <v>227.76156083859968</v>
      </c>
      <c r="K48" s="52">
        <f t="shared" si="67"/>
        <v>227.76156083859968</v>
      </c>
      <c r="L48" s="304">
        <f t="shared" si="67"/>
        <v>227.76156083859968</v>
      </c>
      <c r="M48" s="52">
        <f t="shared" si="67"/>
        <v>227.76156083859968</v>
      </c>
      <c r="N48" s="52">
        <f t="shared" si="67"/>
        <v>227.76156083859968</v>
      </c>
      <c r="O48" s="52">
        <f t="shared" si="67"/>
        <v>227.76156083859968</v>
      </c>
      <c r="P48" s="52">
        <f t="shared" si="67"/>
        <v>227.76156083859968</v>
      </c>
      <c r="Q48" s="52">
        <f t="shared" si="67"/>
        <v>227.76156083859968</v>
      </c>
      <c r="R48" s="52">
        <f t="shared" si="67"/>
        <v>227.76156083859968</v>
      </c>
      <c r="S48" s="52">
        <f t="shared" si="67"/>
        <v>227.76156083859968</v>
      </c>
      <c r="T48" s="52">
        <f t="shared" si="67"/>
        <v>227.76156083859968</v>
      </c>
      <c r="U48" s="52">
        <f t="shared" si="67"/>
        <v>227.76156083859968</v>
      </c>
      <c r="V48" s="71">
        <f t="shared" ref="V48" si="68">V45*0.22</f>
        <v>4241.6000000000004</v>
      </c>
    </row>
    <row r="49" spans="1:22" x14ac:dyDescent="0.35">
      <c r="A49" s="62" t="s">
        <v>22</v>
      </c>
      <c r="B49" s="69">
        <v>0.21095395726752933</v>
      </c>
      <c r="C49" s="52">
        <f>C45*$B$49</f>
        <v>214.11826662654227</v>
      </c>
      <c r="D49" s="52">
        <f t="shared" ref="D49:U49" si="69">D45*$B$49</f>
        <v>214.11826662654227</v>
      </c>
      <c r="E49" s="52">
        <f t="shared" si="69"/>
        <v>214.11826662654227</v>
      </c>
      <c r="F49" s="52">
        <f t="shared" si="69"/>
        <v>214.11826662654227</v>
      </c>
      <c r="G49" s="52">
        <f t="shared" si="69"/>
        <v>214.11826662654227</v>
      </c>
      <c r="H49" s="52">
        <f t="shared" si="69"/>
        <v>214.11826662654227</v>
      </c>
      <c r="I49" s="313">
        <f t="shared" si="69"/>
        <v>214.11826662654227</v>
      </c>
      <c r="J49" s="52">
        <f t="shared" si="69"/>
        <v>214.11826662654227</v>
      </c>
      <c r="K49" s="52">
        <f t="shared" si="69"/>
        <v>214.11826662654227</v>
      </c>
      <c r="L49" s="304">
        <f t="shared" si="69"/>
        <v>214.11826662654227</v>
      </c>
      <c r="M49" s="52">
        <f t="shared" si="69"/>
        <v>214.11826662654227</v>
      </c>
      <c r="N49" s="52">
        <f t="shared" si="69"/>
        <v>214.11826662654227</v>
      </c>
      <c r="O49" s="52">
        <f t="shared" si="69"/>
        <v>214.11826662654227</v>
      </c>
      <c r="P49" s="52">
        <f t="shared" si="69"/>
        <v>214.11826662654227</v>
      </c>
      <c r="Q49" s="52">
        <f t="shared" si="69"/>
        <v>214.11826662654227</v>
      </c>
      <c r="R49" s="52">
        <f t="shared" si="69"/>
        <v>214.11826662654227</v>
      </c>
      <c r="S49" s="52">
        <f t="shared" si="69"/>
        <v>214.11826662654227</v>
      </c>
      <c r="T49" s="52">
        <f t="shared" si="69"/>
        <v>214.11826662654227</v>
      </c>
      <c r="U49" s="52">
        <f t="shared" si="69"/>
        <v>214.11826662654227</v>
      </c>
      <c r="V49" s="71">
        <f t="shared" ref="V49" si="70">V45*0.21</f>
        <v>4048.7999999999997</v>
      </c>
    </row>
    <row r="50" spans="1:22" s="315" customFormat="1" x14ac:dyDescent="0.35">
      <c r="A50" s="316" t="s">
        <v>35</v>
      </c>
      <c r="B50" s="316"/>
      <c r="C50" s="317">
        <v>1126</v>
      </c>
      <c r="D50" s="317">
        <v>1126</v>
      </c>
      <c r="E50" s="317">
        <v>1126</v>
      </c>
      <c r="F50" s="317">
        <v>1126</v>
      </c>
      <c r="G50" s="317">
        <v>1126</v>
      </c>
      <c r="H50" s="317">
        <v>1126</v>
      </c>
      <c r="I50" s="317">
        <v>1126</v>
      </c>
      <c r="J50" s="317">
        <v>1126</v>
      </c>
      <c r="K50" s="317">
        <v>1126</v>
      </c>
      <c r="L50" s="306">
        <v>1126</v>
      </c>
      <c r="M50" s="317">
        <v>1126</v>
      </c>
      <c r="N50" s="317">
        <v>1126</v>
      </c>
      <c r="O50" s="317">
        <v>1126</v>
      </c>
      <c r="P50" s="317">
        <v>1126</v>
      </c>
      <c r="Q50" s="317">
        <v>1126</v>
      </c>
      <c r="R50" s="317">
        <v>1126</v>
      </c>
      <c r="S50" s="317">
        <v>1126</v>
      </c>
      <c r="T50" s="317">
        <v>1126</v>
      </c>
      <c r="U50" s="317">
        <v>1126</v>
      </c>
      <c r="V50" s="309">
        <v>21400</v>
      </c>
    </row>
    <row r="51" spans="1:22" s="315" customFormat="1" x14ac:dyDescent="0.35">
      <c r="A51" s="311" t="s">
        <v>20</v>
      </c>
      <c r="B51" s="312">
        <v>0.25556402967482494</v>
      </c>
      <c r="C51" s="313">
        <f>C50*$B$51</f>
        <v>287.76509741385291</v>
      </c>
      <c r="D51" s="313">
        <f t="shared" ref="D51:U51" si="71">D50*$B$51</f>
        <v>287.76509741385291</v>
      </c>
      <c r="E51" s="313">
        <f t="shared" si="71"/>
        <v>287.76509741385291</v>
      </c>
      <c r="F51" s="313">
        <f t="shared" si="71"/>
        <v>287.76509741385291</v>
      </c>
      <c r="G51" s="313">
        <f t="shared" si="71"/>
        <v>287.76509741385291</v>
      </c>
      <c r="H51" s="313">
        <f t="shared" si="71"/>
        <v>287.76509741385291</v>
      </c>
      <c r="I51" s="313">
        <f t="shared" si="71"/>
        <v>287.76509741385291</v>
      </c>
      <c r="J51" s="313">
        <f t="shared" si="71"/>
        <v>287.76509741385291</v>
      </c>
      <c r="K51" s="313">
        <f t="shared" si="71"/>
        <v>287.76509741385291</v>
      </c>
      <c r="L51" s="304">
        <f t="shared" si="71"/>
        <v>287.76509741385291</v>
      </c>
      <c r="M51" s="313">
        <f t="shared" si="71"/>
        <v>287.76509741385291</v>
      </c>
      <c r="N51" s="313">
        <f t="shared" si="71"/>
        <v>287.76509741385291</v>
      </c>
      <c r="O51" s="313">
        <f t="shared" si="71"/>
        <v>287.76509741385291</v>
      </c>
      <c r="P51" s="313">
        <f t="shared" si="71"/>
        <v>287.76509741385291</v>
      </c>
      <c r="Q51" s="313">
        <f t="shared" si="71"/>
        <v>287.76509741385291</v>
      </c>
      <c r="R51" s="313">
        <f t="shared" si="71"/>
        <v>287.76509741385291</v>
      </c>
      <c r="S51" s="313">
        <f t="shared" si="71"/>
        <v>287.76509741385291</v>
      </c>
      <c r="T51" s="313">
        <f t="shared" si="71"/>
        <v>287.76509741385291</v>
      </c>
      <c r="U51" s="313">
        <f t="shared" si="71"/>
        <v>287.76509741385291</v>
      </c>
      <c r="V51" s="314">
        <f t="shared" ref="V51" si="72">V50*0.26</f>
        <v>5564</v>
      </c>
    </row>
    <row r="52" spans="1:22" s="315" customFormat="1" x14ac:dyDescent="0.35">
      <c r="A52" s="311" t="s">
        <v>21</v>
      </c>
      <c r="B52" s="312">
        <v>0.35873257990709284</v>
      </c>
      <c r="C52" s="313">
        <f>C50*$B$52</f>
        <v>403.93288497538651</v>
      </c>
      <c r="D52" s="313">
        <f t="shared" ref="D52:U52" si="73">D50*$B$52</f>
        <v>403.93288497538651</v>
      </c>
      <c r="E52" s="313">
        <f t="shared" si="73"/>
        <v>403.93288497538651</v>
      </c>
      <c r="F52" s="313">
        <f t="shared" si="73"/>
        <v>403.93288497538651</v>
      </c>
      <c r="G52" s="313">
        <f t="shared" si="73"/>
        <v>403.93288497538651</v>
      </c>
      <c r="H52" s="313">
        <f t="shared" si="73"/>
        <v>403.93288497538651</v>
      </c>
      <c r="I52" s="313">
        <f t="shared" si="73"/>
        <v>403.93288497538651</v>
      </c>
      <c r="J52" s="313">
        <f t="shared" si="73"/>
        <v>403.93288497538651</v>
      </c>
      <c r="K52" s="313">
        <f t="shared" si="73"/>
        <v>403.93288497538651</v>
      </c>
      <c r="L52" s="304">
        <f t="shared" si="73"/>
        <v>403.93288497538651</v>
      </c>
      <c r="M52" s="313">
        <f t="shared" si="73"/>
        <v>403.93288497538651</v>
      </c>
      <c r="N52" s="313">
        <f t="shared" si="73"/>
        <v>403.93288497538651</v>
      </c>
      <c r="O52" s="313">
        <f t="shared" si="73"/>
        <v>403.93288497538651</v>
      </c>
      <c r="P52" s="313">
        <f t="shared" si="73"/>
        <v>403.93288497538651</v>
      </c>
      <c r="Q52" s="313">
        <f t="shared" si="73"/>
        <v>403.93288497538651</v>
      </c>
      <c r="R52" s="313">
        <f t="shared" si="73"/>
        <v>403.93288497538651</v>
      </c>
      <c r="S52" s="313">
        <f t="shared" si="73"/>
        <v>403.93288497538651</v>
      </c>
      <c r="T52" s="313">
        <f t="shared" si="73"/>
        <v>403.93288497538651</v>
      </c>
      <c r="U52" s="313">
        <f t="shared" si="73"/>
        <v>403.93288497538651</v>
      </c>
      <c r="V52" s="314">
        <f t="shared" ref="V52" si="74">V50*0.36</f>
        <v>7704</v>
      </c>
    </row>
    <row r="53" spans="1:22" s="315" customFormat="1" x14ac:dyDescent="0.35">
      <c r="A53" s="311" t="s">
        <v>26</v>
      </c>
      <c r="B53" s="312">
        <v>0.28919087568467033</v>
      </c>
      <c r="C53" s="313">
        <f>C50*$B$53</f>
        <v>325.62892602093882</v>
      </c>
      <c r="D53" s="313">
        <f t="shared" ref="D53:U53" si="75">D50*$B$53</f>
        <v>325.62892602093882</v>
      </c>
      <c r="E53" s="313">
        <f t="shared" si="75"/>
        <v>325.62892602093882</v>
      </c>
      <c r="F53" s="313">
        <f t="shared" si="75"/>
        <v>325.62892602093882</v>
      </c>
      <c r="G53" s="313">
        <f t="shared" si="75"/>
        <v>325.62892602093882</v>
      </c>
      <c r="H53" s="313">
        <f t="shared" si="75"/>
        <v>325.62892602093882</v>
      </c>
      <c r="I53" s="313">
        <f t="shared" si="75"/>
        <v>325.62892602093882</v>
      </c>
      <c r="J53" s="313">
        <f t="shared" si="75"/>
        <v>325.62892602093882</v>
      </c>
      <c r="K53" s="313">
        <f t="shared" si="75"/>
        <v>325.62892602093882</v>
      </c>
      <c r="L53" s="304">
        <f t="shared" si="75"/>
        <v>325.62892602093882</v>
      </c>
      <c r="M53" s="313">
        <f t="shared" si="75"/>
        <v>325.62892602093882</v>
      </c>
      <c r="N53" s="313">
        <f t="shared" si="75"/>
        <v>325.62892602093882</v>
      </c>
      <c r="O53" s="313">
        <f t="shared" si="75"/>
        <v>325.62892602093882</v>
      </c>
      <c r="P53" s="313">
        <f t="shared" si="75"/>
        <v>325.62892602093882</v>
      </c>
      <c r="Q53" s="313">
        <f t="shared" si="75"/>
        <v>325.62892602093882</v>
      </c>
      <c r="R53" s="313">
        <f t="shared" si="75"/>
        <v>325.62892602093882</v>
      </c>
      <c r="S53" s="313">
        <f t="shared" si="75"/>
        <v>325.62892602093882</v>
      </c>
      <c r="T53" s="313">
        <f t="shared" si="75"/>
        <v>325.62892602093882</v>
      </c>
      <c r="U53" s="313">
        <f t="shared" si="75"/>
        <v>325.62892602093882</v>
      </c>
      <c r="V53" s="314">
        <f t="shared" ref="V53" si="76">V50*0.29</f>
        <v>6206</v>
      </c>
    </row>
    <row r="54" spans="1:22" s="315" customFormat="1" x14ac:dyDescent="0.35">
      <c r="A54" s="311" t="s">
        <v>22</v>
      </c>
      <c r="B54" s="312">
        <v>9.6512514733411908E-2</v>
      </c>
      <c r="C54" s="313">
        <f>C50*$B$54</f>
        <v>108.67309158982181</v>
      </c>
      <c r="D54" s="313">
        <f t="shared" ref="D54:U54" si="77">D50*$B$54</f>
        <v>108.67309158982181</v>
      </c>
      <c r="E54" s="313">
        <f t="shared" si="77"/>
        <v>108.67309158982181</v>
      </c>
      <c r="F54" s="313">
        <f t="shared" si="77"/>
        <v>108.67309158982181</v>
      </c>
      <c r="G54" s="313">
        <f t="shared" si="77"/>
        <v>108.67309158982181</v>
      </c>
      <c r="H54" s="313">
        <f t="shared" si="77"/>
        <v>108.67309158982181</v>
      </c>
      <c r="I54" s="313">
        <f t="shared" si="77"/>
        <v>108.67309158982181</v>
      </c>
      <c r="J54" s="313">
        <f t="shared" si="77"/>
        <v>108.67309158982181</v>
      </c>
      <c r="K54" s="313">
        <f t="shared" si="77"/>
        <v>108.67309158982181</v>
      </c>
      <c r="L54" s="304">
        <f t="shared" si="77"/>
        <v>108.67309158982181</v>
      </c>
      <c r="M54" s="313">
        <f t="shared" si="77"/>
        <v>108.67309158982181</v>
      </c>
      <c r="N54" s="313">
        <f t="shared" si="77"/>
        <v>108.67309158982181</v>
      </c>
      <c r="O54" s="313">
        <f t="shared" si="77"/>
        <v>108.67309158982181</v>
      </c>
      <c r="P54" s="313">
        <f t="shared" si="77"/>
        <v>108.67309158982181</v>
      </c>
      <c r="Q54" s="313">
        <f t="shared" si="77"/>
        <v>108.67309158982181</v>
      </c>
      <c r="R54" s="313">
        <f t="shared" si="77"/>
        <v>108.67309158982181</v>
      </c>
      <c r="S54" s="313">
        <f t="shared" si="77"/>
        <v>108.67309158982181</v>
      </c>
      <c r="T54" s="313">
        <f t="shared" si="77"/>
        <v>108.67309158982181</v>
      </c>
      <c r="U54" s="313">
        <f t="shared" si="77"/>
        <v>108.67309158982181</v>
      </c>
      <c r="V54" s="314">
        <f t="shared" ref="V54" si="78">V50*0.1</f>
        <v>2140</v>
      </c>
    </row>
    <row r="55" spans="1:22" x14ac:dyDescent="0.35">
      <c r="A55" s="49" t="s">
        <v>36</v>
      </c>
      <c r="B55" s="63"/>
      <c r="C55" s="50">
        <v>10578</v>
      </c>
      <c r="D55" s="50">
        <v>10578</v>
      </c>
      <c r="E55" s="50">
        <v>10578</v>
      </c>
      <c r="F55" s="50">
        <v>10578</v>
      </c>
      <c r="G55" s="50">
        <v>10578</v>
      </c>
      <c r="H55" s="50">
        <v>10578</v>
      </c>
      <c r="I55" s="317">
        <v>10578</v>
      </c>
      <c r="J55" s="50">
        <v>10578</v>
      </c>
      <c r="K55" s="50">
        <v>10578</v>
      </c>
      <c r="L55" s="306">
        <v>10578</v>
      </c>
      <c r="M55" s="50">
        <v>10578</v>
      </c>
      <c r="N55" s="50">
        <v>10578</v>
      </c>
      <c r="O55" s="50">
        <v>10578</v>
      </c>
      <c r="P55" s="50">
        <v>10578</v>
      </c>
      <c r="Q55" s="50">
        <v>10578</v>
      </c>
      <c r="R55" s="50">
        <v>10578</v>
      </c>
      <c r="S55" s="50">
        <v>10578</v>
      </c>
      <c r="T55" s="50">
        <v>10578</v>
      </c>
      <c r="U55" s="50">
        <v>10578</v>
      </c>
      <c r="V55" s="54">
        <v>200980</v>
      </c>
    </row>
    <row r="56" spans="1:22" x14ac:dyDescent="0.35">
      <c r="A56" s="62" t="s">
        <v>20</v>
      </c>
      <c r="B56" s="69">
        <v>0.16547176636958594</v>
      </c>
      <c r="C56" s="52">
        <f>C55*$B$56</f>
        <v>1750.36034465748</v>
      </c>
      <c r="D56" s="52">
        <f t="shared" ref="D56:U56" si="79">D55*$B$56</f>
        <v>1750.36034465748</v>
      </c>
      <c r="E56" s="52">
        <f t="shared" si="79"/>
        <v>1750.36034465748</v>
      </c>
      <c r="F56" s="52">
        <f t="shared" si="79"/>
        <v>1750.36034465748</v>
      </c>
      <c r="G56" s="52">
        <f t="shared" si="79"/>
        <v>1750.36034465748</v>
      </c>
      <c r="H56" s="52">
        <f t="shared" si="79"/>
        <v>1750.36034465748</v>
      </c>
      <c r="I56" s="313">
        <f t="shared" si="79"/>
        <v>1750.36034465748</v>
      </c>
      <c r="J56" s="52">
        <f t="shared" si="79"/>
        <v>1750.36034465748</v>
      </c>
      <c r="K56" s="52">
        <f t="shared" si="79"/>
        <v>1750.36034465748</v>
      </c>
      <c r="L56" s="304">
        <f t="shared" si="79"/>
        <v>1750.36034465748</v>
      </c>
      <c r="M56" s="52">
        <f t="shared" si="79"/>
        <v>1750.36034465748</v>
      </c>
      <c r="N56" s="52">
        <f t="shared" si="79"/>
        <v>1750.36034465748</v>
      </c>
      <c r="O56" s="52">
        <f t="shared" si="79"/>
        <v>1750.36034465748</v>
      </c>
      <c r="P56" s="52">
        <f t="shared" si="79"/>
        <v>1750.36034465748</v>
      </c>
      <c r="Q56" s="52">
        <f t="shared" si="79"/>
        <v>1750.36034465748</v>
      </c>
      <c r="R56" s="52">
        <f t="shared" si="79"/>
        <v>1750.36034465748</v>
      </c>
      <c r="S56" s="52">
        <f t="shared" si="79"/>
        <v>1750.36034465748</v>
      </c>
      <c r="T56" s="52">
        <f t="shared" si="79"/>
        <v>1750.36034465748</v>
      </c>
      <c r="U56" s="52">
        <f t="shared" si="79"/>
        <v>1750.36034465748</v>
      </c>
      <c r="V56" s="71">
        <f t="shared" ref="V56" si="80">V55*0.17</f>
        <v>34166.600000000006</v>
      </c>
    </row>
    <row r="57" spans="1:22" x14ac:dyDescent="0.35">
      <c r="A57" s="62" t="s">
        <v>21</v>
      </c>
      <c r="B57" s="69">
        <v>0.30071200710362744</v>
      </c>
      <c r="C57" s="52">
        <f>C55*$B$57</f>
        <v>3180.9316111421713</v>
      </c>
      <c r="D57" s="52">
        <f t="shared" ref="D57:U57" si="81">D55*$B$57</f>
        <v>3180.9316111421713</v>
      </c>
      <c r="E57" s="52">
        <f t="shared" si="81"/>
        <v>3180.9316111421713</v>
      </c>
      <c r="F57" s="52">
        <f t="shared" si="81"/>
        <v>3180.9316111421713</v>
      </c>
      <c r="G57" s="52">
        <f t="shared" si="81"/>
        <v>3180.9316111421713</v>
      </c>
      <c r="H57" s="52">
        <f t="shared" si="81"/>
        <v>3180.9316111421713</v>
      </c>
      <c r="I57" s="313">
        <f t="shared" si="81"/>
        <v>3180.9316111421713</v>
      </c>
      <c r="J57" s="52">
        <f t="shared" si="81"/>
        <v>3180.9316111421713</v>
      </c>
      <c r="K57" s="52">
        <f t="shared" si="81"/>
        <v>3180.9316111421713</v>
      </c>
      <c r="L57" s="304">
        <f t="shared" si="81"/>
        <v>3180.9316111421713</v>
      </c>
      <c r="M57" s="52">
        <f t="shared" si="81"/>
        <v>3180.9316111421713</v>
      </c>
      <c r="N57" s="52">
        <f t="shared" si="81"/>
        <v>3180.9316111421713</v>
      </c>
      <c r="O57" s="52">
        <f t="shared" si="81"/>
        <v>3180.9316111421713</v>
      </c>
      <c r="P57" s="52">
        <f t="shared" si="81"/>
        <v>3180.9316111421713</v>
      </c>
      <c r="Q57" s="52">
        <f t="shared" si="81"/>
        <v>3180.9316111421713</v>
      </c>
      <c r="R57" s="52">
        <f t="shared" si="81"/>
        <v>3180.9316111421713</v>
      </c>
      <c r="S57" s="52">
        <f t="shared" si="81"/>
        <v>3180.9316111421713</v>
      </c>
      <c r="T57" s="52">
        <f t="shared" si="81"/>
        <v>3180.9316111421713</v>
      </c>
      <c r="U57" s="52">
        <f t="shared" si="81"/>
        <v>3180.9316111421713</v>
      </c>
      <c r="V57" s="71">
        <f t="shared" ref="V57" si="82">V55*0.3</f>
        <v>60294</v>
      </c>
    </row>
    <row r="58" spans="1:22" x14ac:dyDescent="0.35">
      <c r="A58" s="62" t="s">
        <v>26</v>
      </c>
      <c r="B58" s="69">
        <v>0.3295540500542638</v>
      </c>
      <c r="C58" s="52">
        <f>C55*$B$58</f>
        <v>3486.0227414740025</v>
      </c>
      <c r="D58" s="52">
        <f t="shared" ref="D58:U58" si="83">D55*$B$58</f>
        <v>3486.0227414740025</v>
      </c>
      <c r="E58" s="52">
        <f t="shared" si="83"/>
        <v>3486.0227414740025</v>
      </c>
      <c r="F58" s="52">
        <f t="shared" si="83"/>
        <v>3486.0227414740025</v>
      </c>
      <c r="G58" s="52">
        <f t="shared" si="83"/>
        <v>3486.0227414740025</v>
      </c>
      <c r="H58" s="52">
        <f t="shared" si="83"/>
        <v>3486.0227414740025</v>
      </c>
      <c r="I58" s="313">
        <f t="shared" si="83"/>
        <v>3486.0227414740025</v>
      </c>
      <c r="J58" s="52">
        <f t="shared" si="83"/>
        <v>3486.0227414740025</v>
      </c>
      <c r="K58" s="52">
        <f t="shared" si="83"/>
        <v>3486.0227414740025</v>
      </c>
      <c r="L58" s="304">
        <f t="shared" si="83"/>
        <v>3486.0227414740025</v>
      </c>
      <c r="M58" s="52">
        <f t="shared" si="83"/>
        <v>3486.0227414740025</v>
      </c>
      <c r="N58" s="52">
        <f t="shared" si="83"/>
        <v>3486.0227414740025</v>
      </c>
      <c r="O58" s="52">
        <f t="shared" si="83"/>
        <v>3486.0227414740025</v>
      </c>
      <c r="P58" s="52">
        <f t="shared" si="83"/>
        <v>3486.0227414740025</v>
      </c>
      <c r="Q58" s="52">
        <f t="shared" si="83"/>
        <v>3486.0227414740025</v>
      </c>
      <c r="R58" s="52">
        <f t="shared" si="83"/>
        <v>3486.0227414740025</v>
      </c>
      <c r="S58" s="52">
        <f t="shared" si="83"/>
        <v>3486.0227414740025</v>
      </c>
      <c r="T58" s="52">
        <f t="shared" si="83"/>
        <v>3486.0227414740025</v>
      </c>
      <c r="U58" s="52">
        <f t="shared" si="83"/>
        <v>3486.0227414740025</v>
      </c>
      <c r="V58" s="71">
        <f t="shared" ref="V58" si="84">V55*0.33</f>
        <v>66323.400000000009</v>
      </c>
    </row>
    <row r="59" spans="1:22" x14ac:dyDescent="0.35">
      <c r="A59" s="62" t="s">
        <v>22</v>
      </c>
      <c r="B59" s="69">
        <v>0.20427039826355772</v>
      </c>
      <c r="C59" s="52">
        <f>C55*$B$59</f>
        <v>2160.7722728319136</v>
      </c>
      <c r="D59" s="52">
        <f t="shared" ref="D59:U59" si="85">D55*$B$59</f>
        <v>2160.7722728319136</v>
      </c>
      <c r="E59" s="52">
        <f t="shared" si="85"/>
        <v>2160.7722728319136</v>
      </c>
      <c r="F59" s="52">
        <f t="shared" si="85"/>
        <v>2160.7722728319136</v>
      </c>
      <c r="G59" s="52">
        <f t="shared" si="85"/>
        <v>2160.7722728319136</v>
      </c>
      <c r="H59" s="52">
        <f t="shared" si="85"/>
        <v>2160.7722728319136</v>
      </c>
      <c r="I59" s="313">
        <f t="shared" si="85"/>
        <v>2160.7722728319136</v>
      </c>
      <c r="J59" s="52">
        <f t="shared" si="85"/>
        <v>2160.7722728319136</v>
      </c>
      <c r="K59" s="52">
        <f t="shared" si="85"/>
        <v>2160.7722728319136</v>
      </c>
      <c r="L59" s="304">
        <f t="shared" si="85"/>
        <v>2160.7722728319136</v>
      </c>
      <c r="M59" s="52">
        <f t="shared" si="85"/>
        <v>2160.7722728319136</v>
      </c>
      <c r="N59" s="52">
        <f t="shared" si="85"/>
        <v>2160.7722728319136</v>
      </c>
      <c r="O59" s="52">
        <f t="shared" si="85"/>
        <v>2160.7722728319136</v>
      </c>
      <c r="P59" s="52">
        <f t="shared" si="85"/>
        <v>2160.7722728319136</v>
      </c>
      <c r="Q59" s="52">
        <f t="shared" si="85"/>
        <v>2160.7722728319136</v>
      </c>
      <c r="R59" s="52">
        <f t="shared" si="85"/>
        <v>2160.7722728319136</v>
      </c>
      <c r="S59" s="52">
        <f t="shared" si="85"/>
        <v>2160.7722728319136</v>
      </c>
      <c r="T59" s="52">
        <f t="shared" si="85"/>
        <v>2160.7722728319136</v>
      </c>
      <c r="U59" s="52">
        <f t="shared" si="85"/>
        <v>2160.7722728319136</v>
      </c>
      <c r="V59" s="71">
        <f t="shared" ref="V59" si="86">V55*0.2</f>
        <v>40196</v>
      </c>
    </row>
    <row r="63" spans="1:22" x14ac:dyDescent="0.35">
      <c r="T63" s="319"/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U181"/>
  <sheetViews>
    <sheetView zoomScale="85" zoomScaleNormal="85" workbookViewId="0">
      <selection activeCell="B15" sqref="B15"/>
    </sheetView>
  </sheetViews>
  <sheetFormatPr defaultRowHeight="14.5" x14ac:dyDescent="0.35"/>
  <cols>
    <col min="1" max="1" width="22.54296875" customWidth="1"/>
    <col min="2" max="14" width="13.81640625" bestFit="1" customWidth="1"/>
    <col min="15" max="15" width="14.81640625" bestFit="1" customWidth="1"/>
    <col min="16" max="17" width="9.1796875" style="168"/>
    <col min="18" max="18" width="18.453125" style="147" customWidth="1"/>
    <col min="19" max="23" width="0" style="168" hidden="1" customWidth="1"/>
    <col min="24" max="26" width="9.1796875" style="168" hidden="1" customWidth="1"/>
    <col min="27" max="27" width="31.26953125" style="168" customWidth="1"/>
    <col min="28" max="28" width="27.26953125" style="168" customWidth="1"/>
    <col min="29" max="29" width="18.54296875" style="168" customWidth="1"/>
    <col min="30" max="30" width="5.7265625" style="151" customWidth="1"/>
    <col min="31" max="31" width="22.26953125" style="168" customWidth="1"/>
    <col min="32" max="32" width="31.453125" style="168" customWidth="1"/>
    <col min="33" max="33" width="24.54296875" style="168" customWidth="1"/>
    <col min="34" max="34" width="5" style="151" customWidth="1"/>
    <col min="35" max="35" width="29.26953125" style="168" customWidth="1"/>
    <col min="36" max="36" width="33" style="168" customWidth="1"/>
    <col min="37" max="37" width="23.7265625" style="168" customWidth="1"/>
    <col min="38" max="38" width="17.26953125" style="168" customWidth="1"/>
    <col min="39" max="73" width="9.1796875" style="168"/>
  </cols>
  <sheetData>
    <row r="1" spans="1:70" ht="18.5" x14ac:dyDescent="0.45">
      <c r="A1" s="76" t="s">
        <v>119</v>
      </c>
      <c r="AA1" s="285" t="s">
        <v>126</v>
      </c>
      <c r="AB1" s="286" t="s">
        <v>125</v>
      </c>
    </row>
    <row r="2" spans="1:70" x14ac:dyDescent="0.35">
      <c r="AA2" s="287">
        <v>234</v>
      </c>
      <c r="AB2" s="288">
        <v>200</v>
      </c>
    </row>
    <row r="3" spans="1:70" x14ac:dyDescent="0.35">
      <c r="AA3" s="281"/>
      <c r="AB3" s="282"/>
    </row>
    <row r="4" spans="1:70" x14ac:dyDescent="0.35">
      <c r="AA4" s="281"/>
      <c r="AB4" s="282"/>
    </row>
    <row r="5" spans="1:70" s="152" customFormat="1" x14ac:dyDescent="0.35">
      <c r="A5" s="180" t="s">
        <v>0</v>
      </c>
      <c r="B5" s="209" t="s">
        <v>7</v>
      </c>
      <c r="C5" s="182" t="s">
        <v>8</v>
      </c>
      <c r="D5" s="182" t="s">
        <v>9</v>
      </c>
      <c r="E5" s="182" t="s">
        <v>10</v>
      </c>
      <c r="F5" s="182" t="s">
        <v>11</v>
      </c>
      <c r="G5" s="209" t="s">
        <v>12</v>
      </c>
      <c r="H5" s="182" t="s">
        <v>13</v>
      </c>
      <c r="I5" s="182" t="s">
        <v>14</v>
      </c>
      <c r="J5" s="182" t="s">
        <v>15</v>
      </c>
      <c r="K5" s="182" t="s">
        <v>16</v>
      </c>
      <c r="L5" s="183" t="s">
        <v>17</v>
      </c>
      <c r="M5" s="184" t="s">
        <v>23</v>
      </c>
      <c r="N5" s="184" t="s">
        <v>24</v>
      </c>
      <c r="O5" s="185" t="s">
        <v>18</v>
      </c>
      <c r="P5" s="159"/>
      <c r="Q5" s="168"/>
      <c r="R5" s="147"/>
      <c r="S5" s="168"/>
      <c r="T5" s="168"/>
      <c r="U5" s="168"/>
      <c r="V5" s="168"/>
      <c r="W5" s="168"/>
      <c r="X5" s="168"/>
      <c r="Y5" s="168"/>
      <c r="Z5" s="168"/>
      <c r="AA5" s="283"/>
      <c r="AB5" s="284"/>
      <c r="AC5" s="168"/>
      <c r="AD5" s="151"/>
      <c r="AE5" s="168"/>
      <c r="AF5" s="168"/>
      <c r="AG5" s="168"/>
      <c r="AH5" s="151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</row>
    <row r="6" spans="1:70" s="165" customFormat="1" x14ac:dyDescent="0.35">
      <c r="A6" s="154" t="s">
        <v>25</v>
      </c>
      <c r="B6" s="210">
        <v>726</v>
      </c>
      <c r="C6" s="186">
        <v>726</v>
      </c>
      <c r="D6" s="186">
        <v>726</v>
      </c>
      <c r="E6" s="186">
        <v>726</v>
      </c>
      <c r="F6" s="186">
        <v>726</v>
      </c>
      <c r="G6" s="210">
        <v>726</v>
      </c>
      <c r="H6" s="186">
        <v>726</v>
      </c>
      <c r="I6" s="186">
        <v>726</v>
      </c>
      <c r="J6" s="186">
        <v>726</v>
      </c>
      <c r="K6" s="186">
        <v>726</v>
      </c>
      <c r="L6" s="186">
        <v>726</v>
      </c>
      <c r="M6" s="186">
        <v>726</v>
      </c>
      <c r="N6" s="186">
        <v>726</v>
      </c>
      <c r="O6" s="186">
        <f>SUM(B6:N6)</f>
        <v>9438</v>
      </c>
      <c r="P6" s="160"/>
      <c r="Q6" s="169"/>
      <c r="R6" s="170"/>
      <c r="S6" s="169"/>
      <c r="T6" s="169"/>
      <c r="U6" s="169"/>
      <c r="V6" s="169"/>
      <c r="W6" s="169"/>
      <c r="X6" s="169"/>
      <c r="Y6" s="169"/>
      <c r="Z6" s="169"/>
      <c r="AA6" s="281"/>
      <c r="AB6" s="282"/>
      <c r="AC6" s="169"/>
      <c r="AD6" s="150"/>
      <c r="AE6" s="169"/>
      <c r="AF6" s="169"/>
      <c r="AG6" s="169"/>
      <c r="AH6" s="150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169"/>
    </row>
    <row r="7" spans="1:70" s="152" customFormat="1" ht="15" thickBot="1" x14ac:dyDescent="0.4">
      <c r="A7" s="187" t="s">
        <v>20</v>
      </c>
      <c r="B7" s="210">
        <f>'housing proportion projections'!I6</f>
        <v>154.22553087625062</v>
      </c>
      <c r="C7" s="186">
        <f>'housing proportion projections'!J6</f>
        <v>154.22553087625062</v>
      </c>
      <c r="D7" s="186">
        <f>'housing proportion projections'!K6</f>
        <v>154.22553087625062</v>
      </c>
      <c r="E7" s="186">
        <f>'housing proportion projections'!L6</f>
        <v>154.22553087625062</v>
      </c>
      <c r="F7" s="186">
        <f>'housing proportion projections'!M6</f>
        <v>154.22553087625062</v>
      </c>
      <c r="G7" s="210">
        <f>'housing proportion projections'!N6</f>
        <v>154.22553087625062</v>
      </c>
      <c r="H7" s="186">
        <f>'housing proportion projections'!O6</f>
        <v>154.22553087625062</v>
      </c>
      <c r="I7" s="186">
        <f>'housing proportion projections'!P6</f>
        <v>154.22553087625062</v>
      </c>
      <c r="J7" s="186">
        <f>'housing proportion projections'!Q6</f>
        <v>154.22553087625062</v>
      </c>
      <c r="K7" s="186">
        <f>'housing proportion projections'!R6</f>
        <v>154.22553087625062</v>
      </c>
      <c r="L7" s="186">
        <f>'housing proportion projections'!S6</f>
        <v>154.22553087625062</v>
      </c>
      <c r="M7" s="186">
        <f>'housing proportion projections'!T6</f>
        <v>154.22553087625062</v>
      </c>
      <c r="N7" s="186">
        <f>'housing proportion projections'!U6</f>
        <v>154.22553087625062</v>
      </c>
      <c r="O7" s="186">
        <f t="shared" ref="O7:O10" si="0">SUM(B7:N7)</f>
        <v>2004.9319013912575</v>
      </c>
      <c r="P7" s="159"/>
      <c r="Q7" s="168"/>
      <c r="R7" s="147"/>
      <c r="S7" s="168"/>
      <c r="T7" s="168"/>
      <c r="U7" s="168"/>
      <c r="V7" s="168"/>
      <c r="W7" s="168"/>
      <c r="X7" s="168"/>
      <c r="Y7" s="168"/>
      <c r="Z7" s="168"/>
      <c r="AA7" s="243"/>
      <c r="AB7" s="244"/>
      <c r="AC7" s="168"/>
      <c r="AD7" s="151"/>
      <c r="AE7" s="168"/>
      <c r="AF7" s="168"/>
      <c r="AG7" s="168"/>
      <c r="AH7" s="151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</row>
    <row r="8" spans="1:70" s="152" customFormat="1" x14ac:dyDescent="0.35">
      <c r="A8" s="187" t="s">
        <v>21</v>
      </c>
      <c r="B8" s="210">
        <f>'housing proportion projections'!I7</f>
        <v>196.69514278740564</v>
      </c>
      <c r="C8" s="186">
        <f>'housing proportion projections'!J7</f>
        <v>196.69514278740564</v>
      </c>
      <c r="D8" s="186">
        <f>'housing proportion projections'!K7</f>
        <v>196.69514278740564</v>
      </c>
      <c r="E8" s="186">
        <f>'housing proportion projections'!L7</f>
        <v>196.69514278740564</v>
      </c>
      <c r="F8" s="186">
        <f>'housing proportion projections'!M7</f>
        <v>196.69514278740564</v>
      </c>
      <c r="G8" s="210">
        <f>'housing proportion projections'!N7</f>
        <v>196.69514278740564</v>
      </c>
      <c r="H8" s="186">
        <f>'housing proportion projections'!O7</f>
        <v>196.69514278740564</v>
      </c>
      <c r="I8" s="186">
        <f>'housing proportion projections'!P7</f>
        <v>196.69514278740564</v>
      </c>
      <c r="J8" s="186">
        <f>'housing proportion projections'!Q7</f>
        <v>196.69514278740564</v>
      </c>
      <c r="K8" s="186">
        <f>'housing proportion projections'!R7</f>
        <v>196.69514278740564</v>
      </c>
      <c r="L8" s="186">
        <f>'housing proportion projections'!S7</f>
        <v>196.69514278740564</v>
      </c>
      <c r="M8" s="186">
        <f>'housing proportion projections'!T7</f>
        <v>196.69514278740564</v>
      </c>
      <c r="N8" s="186">
        <f>'housing proportion projections'!U7</f>
        <v>196.69514278740564</v>
      </c>
      <c r="O8" s="186">
        <f t="shared" si="0"/>
        <v>2557.0368562362728</v>
      </c>
      <c r="P8" s="159"/>
      <c r="Q8" s="168"/>
      <c r="R8" s="147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51"/>
      <c r="AE8" s="168"/>
      <c r="AF8" s="168"/>
      <c r="AG8" s="168"/>
      <c r="AH8" s="151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168"/>
      <c r="BR8" s="168"/>
    </row>
    <row r="9" spans="1:70" s="152" customFormat="1" x14ac:dyDescent="0.35">
      <c r="A9" s="187" t="s">
        <v>26</v>
      </c>
      <c r="B9" s="210">
        <f>'housing proportion projections'!I8</f>
        <v>270.64779106663434</v>
      </c>
      <c r="C9" s="186">
        <f>'housing proportion projections'!J8</f>
        <v>270.64779106663434</v>
      </c>
      <c r="D9" s="186">
        <f>'housing proportion projections'!K8</f>
        <v>270.64779106663434</v>
      </c>
      <c r="E9" s="186">
        <f>'housing proportion projections'!L8</f>
        <v>270.64779106663434</v>
      </c>
      <c r="F9" s="186">
        <f>'housing proportion projections'!M8</f>
        <v>270.64779106663434</v>
      </c>
      <c r="G9" s="210">
        <f>'housing proportion projections'!N8</f>
        <v>270.64779106663434</v>
      </c>
      <c r="H9" s="186">
        <f>'housing proportion projections'!O8</f>
        <v>270.64779106663434</v>
      </c>
      <c r="I9" s="186">
        <f>'housing proportion projections'!P8</f>
        <v>270.64779106663434</v>
      </c>
      <c r="J9" s="186">
        <f>'housing proportion projections'!Q8</f>
        <v>270.64779106663434</v>
      </c>
      <c r="K9" s="186">
        <f>'housing proportion projections'!R8</f>
        <v>270.64779106663434</v>
      </c>
      <c r="L9" s="186">
        <f>'housing proportion projections'!S8</f>
        <v>270.64779106663434</v>
      </c>
      <c r="M9" s="186">
        <f>'housing proportion projections'!T8</f>
        <v>270.64779106663434</v>
      </c>
      <c r="N9" s="186">
        <f>'housing proportion projections'!U8</f>
        <v>270.64779106663434</v>
      </c>
      <c r="O9" s="186">
        <f t="shared" si="0"/>
        <v>3518.4212838662474</v>
      </c>
      <c r="P9" s="159"/>
      <c r="Q9" s="168"/>
      <c r="R9" s="147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51"/>
      <c r="AE9" s="168"/>
      <c r="AF9" s="168"/>
      <c r="AG9" s="168"/>
      <c r="AH9" s="151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</row>
    <row r="10" spans="1:70" s="158" customFormat="1" x14ac:dyDescent="0.35">
      <c r="A10" s="190" t="s">
        <v>22</v>
      </c>
      <c r="B10" s="210">
        <f>'housing proportion projections'!I9</f>
        <v>104.49060288015619</v>
      </c>
      <c r="C10" s="186">
        <f>'housing proportion projections'!J9</f>
        <v>104.49060288015619</v>
      </c>
      <c r="D10" s="186">
        <f>'housing proportion projections'!K9</f>
        <v>104.49060288015619</v>
      </c>
      <c r="E10" s="186">
        <f>'housing proportion projections'!L9</f>
        <v>104.49060288015619</v>
      </c>
      <c r="F10" s="186">
        <f>'housing proportion projections'!M9</f>
        <v>104.49060288015619</v>
      </c>
      <c r="G10" s="210">
        <f>'housing proportion projections'!N9</f>
        <v>104.49060288015619</v>
      </c>
      <c r="H10" s="186">
        <f>'housing proportion projections'!O9</f>
        <v>104.49060288015619</v>
      </c>
      <c r="I10" s="186">
        <f>'housing proportion projections'!P9</f>
        <v>104.49060288015619</v>
      </c>
      <c r="J10" s="186">
        <f>'housing proportion projections'!Q9</f>
        <v>104.49060288015619</v>
      </c>
      <c r="K10" s="186">
        <f>'housing proportion projections'!R9</f>
        <v>104.49060288015619</v>
      </c>
      <c r="L10" s="186">
        <f>'housing proportion projections'!S9</f>
        <v>104.49060288015619</v>
      </c>
      <c r="M10" s="186">
        <f>'housing proportion projections'!T9</f>
        <v>104.49060288015619</v>
      </c>
      <c r="N10" s="186">
        <f>'housing proportion projections'!U9</f>
        <v>104.49060288015619</v>
      </c>
      <c r="O10" s="186">
        <f t="shared" si="0"/>
        <v>1358.3778374420303</v>
      </c>
      <c r="P10" s="167"/>
      <c r="Q10" s="168"/>
      <c r="R10" s="147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51"/>
      <c r="AE10" s="168"/>
      <c r="AF10" s="168"/>
      <c r="AG10" s="168"/>
      <c r="AH10" s="151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  <c r="BR10" s="168"/>
    </row>
    <row r="11" spans="1:70" s="152" customFormat="1" ht="15" thickBot="1" x14ac:dyDescent="0.4">
      <c r="A11" s="179"/>
      <c r="B11" s="212"/>
      <c r="C11" s="179"/>
      <c r="D11" s="179"/>
      <c r="E11" s="179"/>
      <c r="F11" s="179"/>
      <c r="G11" s="212"/>
      <c r="H11" s="179"/>
      <c r="I11" s="179"/>
      <c r="J11" s="179"/>
      <c r="K11" s="179"/>
      <c r="L11" s="179"/>
      <c r="M11" s="179"/>
      <c r="N11" s="179"/>
      <c r="O11" s="179"/>
      <c r="P11" s="167"/>
      <c r="Q11" s="168"/>
      <c r="R11" s="147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51"/>
      <c r="AE11" s="168"/>
      <c r="AF11" s="168"/>
      <c r="AG11" s="168"/>
      <c r="AH11" s="151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168"/>
    </row>
    <row r="12" spans="1:70" s="166" customFormat="1" x14ac:dyDescent="0.35">
      <c r="A12" s="191" t="s">
        <v>134</v>
      </c>
      <c r="B12" s="213"/>
      <c r="C12" s="192"/>
      <c r="D12" s="192"/>
      <c r="E12" s="192"/>
      <c r="F12" s="192"/>
      <c r="G12" s="213"/>
      <c r="H12" s="192"/>
      <c r="I12" s="192"/>
      <c r="J12" s="192"/>
      <c r="K12" s="192"/>
      <c r="L12" s="192"/>
      <c r="M12" s="192"/>
      <c r="N12" s="192"/>
      <c r="O12" s="192"/>
      <c r="P12" s="167"/>
      <c r="Q12" s="168"/>
      <c r="R12" s="147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51"/>
      <c r="AE12" s="168"/>
      <c r="AF12" s="168"/>
      <c r="AG12" s="168"/>
      <c r="AH12" s="151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</row>
    <row r="13" spans="1:70" s="155" customFormat="1" x14ac:dyDescent="0.35">
      <c r="A13" s="193" t="s">
        <v>112</v>
      </c>
      <c r="B13" s="214">
        <f>((B7*$AE$28)+(B8*$AE$29)+(B9*$AE$30)+(B10*$AE$31))*30</f>
        <v>5872185.2162074689</v>
      </c>
      <c r="C13" s="214">
        <f t="shared" ref="C13:F13" si="1">((C7*$AE$28)+(C8*$AE$29)+(C9*$AE$30)+(C10*$AE$31))*30</f>
        <v>5872185.2162074689</v>
      </c>
      <c r="D13" s="214">
        <f t="shared" si="1"/>
        <v>5872185.2162074689</v>
      </c>
      <c r="E13" s="214">
        <f t="shared" si="1"/>
        <v>5872185.2162074689</v>
      </c>
      <c r="F13" s="214">
        <f t="shared" si="1"/>
        <v>5872185.2162074689</v>
      </c>
      <c r="G13" s="214">
        <f>((G7*$AI$28)+(G8*$AI$29)+(G9*$AI$30)+(G10*$AI$31))*30</f>
        <v>5803270.0707425736</v>
      </c>
      <c r="H13" s="214">
        <f t="shared" ref="H13:N13" si="2">((H7*$AI$28)+(H8*$AI$29)+(H9*$AI$30)+(H10*$AI$31))*30</f>
        <v>5803270.0707425736</v>
      </c>
      <c r="I13" s="214">
        <f t="shared" si="2"/>
        <v>5803270.0707425736</v>
      </c>
      <c r="J13" s="214">
        <f t="shared" si="2"/>
        <v>5803270.0707425736</v>
      </c>
      <c r="K13" s="214">
        <f t="shared" si="2"/>
        <v>5803270.0707425736</v>
      </c>
      <c r="L13" s="214">
        <f t="shared" si="2"/>
        <v>5803270.0707425736</v>
      </c>
      <c r="M13" s="214">
        <f t="shared" si="2"/>
        <v>5803270.0707425736</v>
      </c>
      <c r="N13" s="214">
        <f t="shared" si="2"/>
        <v>5803270.0707425736</v>
      </c>
      <c r="O13" s="214">
        <f>SUM(B13:N13)</f>
        <v>75787086.646977961</v>
      </c>
      <c r="P13" s="162"/>
      <c r="Q13" s="168"/>
      <c r="R13" s="147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51"/>
      <c r="AE13" s="168"/>
      <c r="AF13" s="168"/>
      <c r="AG13" s="168"/>
      <c r="AH13" s="151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</row>
    <row r="14" spans="1:70" s="155" customFormat="1" x14ac:dyDescent="0.35">
      <c r="A14" s="193" t="s">
        <v>113</v>
      </c>
      <c r="B14" s="214">
        <f t="shared" ref="B14:O14" si="3">B13/1000</f>
        <v>5872.1852162074692</v>
      </c>
      <c r="C14" s="214">
        <f t="shared" si="3"/>
        <v>5872.1852162074692</v>
      </c>
      <c r="D14" s="214">
        <f t="shared" si="3"/>
        <v>5872.1852162074692</v>
      </c>
      <c r="E14" s="214">
        <f t="shared" si="3"/>
        <v>5872.1852162074692</v>
      </c>
      <c r="F14" s="214">
        <f t="shared" si="3"/>
        <v>5872.1852162074692</v>
      </c>
      <c r="G14" s="214">
        <f t="shared" si="3"/>
        <v>5803.2700707425738</v>
      </c>
      <c r="H14" s="214">
        <f t="shared" si="3"/>
        <v>5803.2700707425738</v>
      </c>
      <c r="I14" s="214">
        <f t="shared" si="3"/>
        <v>5803.2700707425738</v>
      </c>
      <c r="J14" s="214">
        <f t="shared" si="3"/>
        <v>5803.2700707425738</v>
      </c>
      <c r="K14" s="214">
        <f t="shared" si="3"/>
        <v>5803.2700707425738</v>
      </c>
      <c r="L14" s="214">
        <f t="shared" si="3"/>
        <v>5803.2700707425738</v>
      </c>
      <c r="M14" s="214">
        <f t="shared" si="3"/>
        <v>5803.2700707425738</v>
      </c>
      <c r="N14" s="214">
        <f t="shared" si="3"/>
        <v>5803.2700707425738</v>
      </c>
      <c r="O14" s="214">
        <f t="shared" si="3"/>
        <v>75787.086646977958</v>
      </c>
      <c r="P14" s="162"/>
      <c r="Q14" s="168"/>
      <c r="R14" s="147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51"/>
      <c r="AE14" s="168"/>
      <c r="AF14" s="168"/>
      <c r="AG14" s="168"/>
      <c r="AH14" s="151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</row>
    <row r="15" spans="1:70" s="155" customFormat="1" x14ac:dyDescent="0.35">
      <c r="A15" s="193" t="s">
        <v>64</v>
      </c>
      <c r="B15" s="215">
        <f>B14*$AB$2</f>
        <v>1174437.0432414939</v>
      </c>
      <c r="C15" s="215">
        <f t="shared" ref="C15:O15" si="4">C14*$AB$2</f>
        <v>1174437.0432414939</v>
      </c>
      <c r="D15" s="215">
        <f t="shared" si="4"/>
        <v>1174437.0432414939</v>
      </c>
      <c r="E15" s="215">
        <f t="shared" si="4"/>
        <v>1174437.0432414939</v>
      </c>
      <c r="F15" s="215">
        <f t="shared" si="4"/>
        <v>1174437.0432414939</v>
      </c>
      <c r="G15" s="215">
        <f t="shared" si="4"/>
        <v>1160654.0141485147</v>
      </c>
      <c r="H15" s="215">
        <f t="shared" si="4"/>
        <v>1160654.0141485147</v>
      </c>
      <c r="I15" s="215">
        <f t="shared" si="4"/>
        <v>1160654.0141485147</v>
      </c>
      <c r="J15" s="215">
        <f t="shared" si="4"/>
        <v>1160654.0141485147</v>
      </c>
      <c r="K15" s="215">
        <f t="shared" si="4"/>
        <v>1160654.0141485147</v>
      </c>
      <c r="L15" s="215">
        <f t="shared" si="4"/>
        <v>1160654.0141485147</v>
      </c>
      <c r="M15" s="215">
        <f t="shared" si="4"/>
        <v>1160654.0141485147</v>
      </c>
      <c r="N15" s="215">
        <f t="shared" si="4"/>
        <v>1160654.0141485147</v>
      </c>
      <c r="O15" s="215">
        <f t="shared" si="4"/>
        <v>15157417.329395592</v>
      </c>
      <c r="P15" s="163"/>
      <c r="Q15" s="168"/>
      <c r="R15" s="147"/>
      <c r="S15" s="168"/>
      <c r="T15" s="168"/>
      <c r="U15" s="168"/>
      <c r="V15" s="168"/>
      <c r="W15" s="168"/>
      <c r="X15" s="168"/>
      <c r="Y15" s="168"/>
      <c r="Z15" s="168"/>
      <c r="AA15" s="342" t="s">
        <v>58</v>
      </c>
      <c r="AB15" s="342"/>
      <c r="AC15" s="342"/>
      <c r="AD15" s="150"/>
      <c r="AE15" s="343" t="s">
        <v>59</v>
      </c>
      <c r="AF15" s="343"/>
      <c r="AG15" s="343"/>
      <c r="AH15" s="150"/>
      <c r="AI15" s="342" t="s">
        <v>106</v>
      </c>
      <c r="AJ15" s="342"/>
      <c r="AK15" s="342"/>
      <c r="AL15" s="342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</row>
    <row r="16" spans="1:70" s="155" customFormat="1" x14ac:dyDescent="0.35">
      <c r="A16" s="193"/>
      <c r="B16" s="214"/>
      <c r="C16" s="194"/>
      <c r="D16" s="194"/>
      <c r="E16" s="194"/>
      <c r="F16" s="194"/>
      <c r="G16" s="214"/>
      <c r="H16" s="194"/>
      <c r="I16" s="194"/>
      <c r="J16" s="194"/>
      <c r="K16" s="194"/>
      <c r="L16" s="194"/>
      <c r="M16" s="194"/>
      <c r="N16" s="194"/>
      <c r="O16" s="194"/>
      <c r="P16" s="162"/>
      <c r="Q16" s="168"/>
      <c r="R16" s="147"/>
      <c r="S16" s="168" t="s">
        <v>79</v>
      </c>
      <c r="T16" s="168"/>
      <c r="U16" s="168" t="s">
        <v>78</v>
      </c>
      <c r="V16" s="168"/>
      <c r="W16" s="168"/>
      <c r="X16" s="168"/>
      <c r="Y16" s="168"/>
      <c r="Z16" s="168"/>
      <c r="AA16" s="176" t="s">
        <v>77</v>
      </c>
      <c r="AB16" s="176" t="s">
        <v>76</v>
      </c>
      <c r="AC16" s="176" t="s">
        <v>75</v>
      </c>
      <c r="AD16" s="177"/>
      <c r="AE16" s="176" t="s">
        <v>77</v>
      </c>
      <c r="AF16" s="176" t="s">
        <v>76</v>
      </c>
      <c r="AG16" s="176" t="s">
        <v>75</v>
      </c>
      <c r="AH16" s="176"/>
      <c r="AI16" s="176" t="s">
        <v>77</v>
      </c>
      <c r="AJ16" s="176" t="s">
        <v>76</v>
      </c>
      <c r="AK16" s="176" t="s">
        <v>75</v>
      </c>
      <c r="AL16" s="169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</row>
    <row r="17" spans="1:70" s="157" customFormat="1" ht="15" thickBot="1" x14ac:dyDescent="0.4">
      <c r="A17" s="197"/>
      <c r="B17" s="216"/>
      <c r="C17" s="198"/>
      <c r="D17" s="198"/>
      <c r="E17" s="198"/>
      <c r="F17" s="198"/>
      <c r="G17" s="216"/>
      <c r="H17" s="198"/>
      <c r="I17" s="198"/>
      <c r="J17" s="198"/>
      <c r="K17" s="198"/>
      <c r="L17" s="198"/>
      <c r="M17" s="198"/>
      <c r="N17" s="198"/>
      <c r="O17" s="198"/>
      <c r="P17" s="164"/>
      <c r="Q17" s="168"/>
      <c r="R17" s="147"/>
      <c r="S17" s="168" t="s">
        <v>74</v>
      </c>
      <c r="T17" s="168" t="s">
        <v>73</v>
      </c>
      <c r="U17" s="168" t="s">
        <v>72</v>
      </c>
      <c r="V17" s="168"/>
      <c r="W17" s="168"/>
      <c r="X17" s="168"/>
      <c r="Y17" s="168"/>
      <c r="Z17" s="168"/>
      <c r="AA17" s="176" t="s">
        <v>71</v>
      </c>
      <c r="AB17" s="176" t="s">
        <v>71</v>
      </c>
      <c r="AC17" s="176" t="s">
        <v>71</v>
      </c>
      <c r="AD17" s="177"/>
      <c r="AE17" s="176" t="s">
        <v>71</v>
      </c>
      <c r="AF17" s="176" t="s">
        <v>71</v>
      </c>
      <c r="AG17" s="176" t="s">
        <v>71</v>
      </c>
      <c r="AH17" s="176"/>
      <c r="AI17" s="176" t="s">
        <v>71</v>
      </c>
      <c r="AJ17" s="176" t="s">
        <v>71</v>
      </c>
      <c r="AK17" s="176" t="s">
        <v>71</v>
      </c>
      <c r="AL17" s="169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</row>
    <row r="18" spans="1:70" s="152" customFormat="1" x14ac:dyDescent="0.35">
      <c r="A18" s="179"/>
      <c r="B18" s="212"/>
      <c r="C18" s="179"/>
      <c r="D18" s="179"/>
      <c r="E18" s="179"/>
      <c r="F18" s="179"/>
      <c r="G18" s="212"/>
      <c r="H18" s="179"/>
      <c r="I18" s="179"/>
      <c r="J18" s="179"/>
      <c r="K18" s="179"/>
      <c r="L18" s="179"/>
      <c r="M18" s="179"/>
      <c r="N18" s="179"/>
      <c r="O18" s="179"/>
      <c r="P18" s="159"/>
      <c r="Q18" s="168"/>
      <c r="R18" s="173" t="s">
        <v>70</v>
      </c>
      <c r="S18" s="172">
        <v>7756.2950000000001</v>
      </c>
      <c r="T18" s="172">
        <v>517.5204</v>
      </c>
      <c r="U18" s="172">
        <v>4079</v>
      </c>
      <c r="V18" s="172"/>
      <c r="W18" s="172"/>
      <c r="X18" s="172"/>
      <c r="Y18" s="172"/>
      <c r="Z18" s="172"/>
      <c r="AA18" s="174">
        <v>1699.2047244</v>
      </c>
      <c r="AB18" s="174">
        <v>554.74400000000003</v>
      </c>
      <c r="AC18" s="174">
        <v>2253.9487244000002</v>
      </c>
      <c r="AD18" s="175"/>
      <c r="AE18" s="174">
        <v>1693.5119999999999</v>
      </c>
      <c r="AF18" s="174">
        <v>509.875</v>
      </c>
      <c r="AG18" s="174">
        <v>2203.3869999999997</v>
      </c>
      <c r="AH18" s="175"/>
      <c r="AI18" s="174">
        <v>1675.398786</v>
      </c>
      <c r="AJ18" s="174">
        <v>367.11</v>
      </c>
      <c r="AK18" s="174">
        <v>2042.5087859999999</v>
      </c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</row>
    <row r="19" spans="1:70" s="152" customFormat="1" x14ac:dyDescent="0.35">
      <c r="A19" s="179"/>
      <c r="B19" s="212"/>
      <c r="C19" s="179"/>
      <c r="D19" s="179"/>
      <c r="E19" s="179"/>
      <c r="F19" s="179"/>
      <c r="G19" s="212"/>
      <c r="H19" s="179"/>
      <c r="I19" s="179"/>
      <c r="J19" s="179"/>
      <c r="K19" s="179"/>
      <c r="L19" s="179"/>
      <c r="M19" s="179"/>
      <c r="N19" s="179"/>
      <c r="O19" s="179"/>
      <c r="P19" s="159"/>
      <c r="Q19" s="168"/>
      <c r="R19" s="173" t="s">
        <v>69</v>
      </c>
      <c r="S19" s="172">
        <v>5851</v>
      </c>
      <c r="T19" s="172">
        <v>443</v>
      </c>
      <c r="U19" s="172">
        <v>3428</v>
      </c>
      <c r="V19" s="172"/>
      <c r="W19" s="172"/>
      <c r="X19" s="172"/>
      <c r="Y19" s="172"/>
      <c r="Z19" s="172"/>
      <c r="AA19" s="174">
        <v>1288.9580000000001</v>
      </c>
      <c r="AB19" s="174">
        <v>466.20800000000003</v>
      </c>
      <c r="AC19" s="174">
        <v>1755.1660000000002</v>
      </c>
      <c r="AD19" s="175"/>
      <c r="AE19" s="174">
        <v>1284.085</v>
      </c>
      <c r="AF19" s="174">
        <v>428.5</v>
      </c>
      <c r="AG19" s="174">
        <v>1717.4580000000001</v>
      </c>
      <c r="AH19" s="175"/>
      <c r="AI19" s="174">
        <v>1268.58</v>
      </c>
      <c r="AJ19" s="174">
        <v>308.52</v>
      </c>
      <c r="AK19" s="174">
        <v>1577.1</v>
      </c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</row>
    <row r="20" spans="1:70" s="152" customFormat="1" x14ac:dyDescent="0.35">
      <c r="A20" s="180" t="s">
        <v>0</v>
      </c>
      <c r="B20" s="209" t="s">
        <v>7</v>
      </c>
      <c r="C20" s="182" t="s">
        <v>8</v>
      </c>
      <c r="D20" s="182" t="s">
        <v>9</v>
      </c>
      <c r="E20" s="182" t="s">
        <v>10</v>
      </c>
      <c r="F20" s="182" t="s">
        <v>11</v>
      </c>
      <c r="G20" s="209" t="s">
        <v>12</v>
      </c>
      <c r="H20" s="182" t="s">
        <v>13</v>
      </c>
      <c r="I20" s="182" t="s">
        <v>14</v>
      </c>
      <c r="J20" s="182" t="s">
        <v>15</v>
      </c>
      <c r="K20" s="182" t="s">
        <v>16</v>
      </c>
      <c r="L20" s="183" t="s">
        <v>17</v>
      </c>
      <c r="M20" s="184" t="s">
        <v>23</v>
      </c>
      <c r="N20" s="184" t="s">
        <v>24</v>
      </c>
      <c r="O20" s="185" t="s">
        <v>18</v>
      </c>
      <c r="P20" s="159"/>
      <c r="Q20" s="168"/>
      <c r="R20" s="173" t="s">
        <v>65</v>
      </c>
      <c r="S20" s="172">
        <v>6404.3546999999999</v>
      </c>
      <c r="T20" s="172">
        <v>466.53879999999998</v>
      </c>
      <c r="U20" s="172">
        <v>3428</v>
      </c>
      <c r="V20" s="172"/>
      <c r="W20" s="172"/>
      <c r="X20" s="172"/>
      <c r="Y20" s="172"/>
      <c r="Z20" s="172"/>
      <c r="AA20" s="174">
        <v>1408.3637638</v>
      </c>
      <c r="AB20" s="174">
        <v>466.20800000000003</v>
      </c>
      <c r="AC20" s="174">
        <v>1874.5717638000001</v>
      </c>
      <c r="AD20" s="175"/>
      <c r="AE20" s="174">
        <v>1403.231837</v>
      </c>
      <c r="AF20" s="174">
        <v>428.5</v>
      </c>
      <c r="AG20" s="174">
        <v>1836.8637638</v>
      </c>
      <c r="AH20" s="175"/>
      <c r="AI20" s="174">
        <v>1386.902979</v>
      </c>
      <c r="AJ20" s="174">
        <v>308.52</v>
      </c>
      <c r="AK20" s="174">
        <v>1695.4229789999999</v>
      </c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</row>
    <row r="21" spans="1:70" s="152" customFormat="1" x14ac:dyDescent="0.35">
      <c r="A21" s="154" t="s">
        <v>27</v>
      </c>
      <c r="B21" s="217">
        <v>498</v>
      </c>
      <c r="C21" s="186">
        <v>498</v>
      </c>
      <c r="D21" s="186">
        <v>498</v>
      </c>
      <c r="E21" s="186">
        <v>498</v>
      </c>
      <c r="F21" s="186">
        <v>498</v>
      </c>
      <c r="G21" s="217">
        <v>498</v>
      </c>
      <c r="H21" s="186">
        <v>498</v>
      </c>
      <c r="I21" s="186">
        <v>498</v>
      </c>
      <c r="J21" s="186">
        <v>498</v>
      </c>
      <c r="K21" s="186">
        <v>498</v>
      </c>
      <c r="L21" s="186">
        <v>498</v>
      </c>
      <c r="M21" s="186">
        <v>498</v>
      </c>
      <c r="N21" s="186">
        <v>498</v>
      </c>
      <c r="O21" s="200">
        <f>SUM(B21:N21)</f>
        <v>6474</v>
      </c>
      <c r="P21" s="160"/>
      <c r="Q21" s="168"/>
      <c r="R21" s="173" t="s">
        <v>66</v>
      </c>
      <c r="S21" s="172">
        <v>3681.8650249999996</v>
      </c>
      <c r="T21" s="172">
        <v>334.46890000000002</v>
      </c>
      <c r="U21" s="172">
        <v>2627</v>
      </c>
      <c r="V21" s="172"/>
      <c r="W21" s="172"/>
      <c r="X21" s="172"/>
      <c r="Y21" s="172"/>
      <c r="Z21" s="172"/>
      <c r="AA21" s="174">
        <v>818.67942564999998</v>
      </c>
      <c r="AB21" s="174">
        <v>357.27200000000005</v>
      </c>
      <c r="AC21" s="174">
        <v>1175.9514256499999</v>
      </c>
      <c r="AD21" s="175">
        <v>0</v>
      </c>
      <c r="AE21" s="174">
        <v>815.00026774999992</v>
      </c>
      <c r="AF21" s="174">
        <v>328.375</v>
      </c>
      <c r="AG21" s="174">
        <v>1147.05442565</v>
      </c>
      <c r="AH21" s="175">
        <v>0</v>
      </c>
      <c r="AI21" s="174">
        <v>803.29385624999986</v>
      </c>
      <c r="AJ21" s="174">
        <v>236.43</v>
      </c>
      <c r="AK21" s="174">
        <v>1039.7238562499999</v>
      </c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  <c r="BR21" s="168"/>
    </row>
    <row r="22" spans="1:70" s="152" customFormat="1" x14ac:dyDescent="0.35">
      <c r="A22" s="187" t="s">
        <v>20</v>
      </c>
      <c r="B22" s="218">
        <f>'housing proportion projections'!I11</f>
        <v>109.82304921968787</v>
      </c>
      <c r="C22" s="186">
        <f>'housing proportion projections'!J11</f>
        <v>109.82304921968787</v>
      </c>
      <c r="D22" s="186">
        <f>'housing proportion projections'!K11</f>
        <v>109.82304921968787</v>
      </c>
      <c r="E22" s="186">
        <f>'housing proportion projections'!L11</f>
        <v>109.82304921968787</v>
      </c>
      <c r="F22" s="186">
        <f>'housing proportion projections'!M11</f>
        <v>109.82304921968787</v>
      </c>
      <c r="G22" s="218">
        <f>'housing proportion projections'!N11</f>
        <v>109.82304921968787</v>
      </c>
      <c r="H22" s="186">
        <f>'housing proportion projections'!O11</f>
        <v>109.82304921968787</v>
      </c>
      <c r="I22" s="186">
        <f>'housing proportion projections'!P11</f>
        <v>109.82304921968787</v>
      </c>
      <c r="J22" s="186">
        <f>'housing proportion projections'!Q11</f>
        <v>109.82304921968787</v>
      </c>
      <c r="K22" s="186">
        <f>'housing proportion projections'!R11</f>
        <v>109.82304921968787</v>
      </c>
      <c r="L22" s="186">
        <f>'housing proportion projections'!S11</f>
        <v>109.82304921968787</v>
      </c>
      <c r="M22" s="186">
        <f>'housing proportion projections'!T11</f>
        <v>109.82304921968787</v>
      </c>
      <c r="N22" s="186">
        <f>'housing proportion projections'!U11</f>
        <v>109.82304921968787</v>
      </c>
      <c r="O22" s="200">
        <f t="shared" ref="O22:O25" si="5">SUM(B22:N22)</f>
        <v>1427.6996398559422</v>
      </c>
      <c r="P22" s="159"/>
      <c r="Q22" s="168"/>
      <c r="R22" s="147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51"/>
      <c r="AE22" s="168"/>
      <c r="AF22" s="168"/>
      <c r="AG22" s="168"/>
      <c r="AH22" s="151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</row>
    <row r="23" spans="1:70" s="152" customFormat="1" x14ac:dyDescent="0.35">
      <c r="A23" s="187" t="s">
        <v>21</v>
      </c>
      <c r="B23" s="218">
        <f>'housing proportion projections'!I12</f>
        <v>157.47082833133254</v>
      </c>
      <c r="C23" s="186">
        <f>'housing proportion projections'!J12</f>
        <v>157.47082833133254</v>
      </c>
      <c r="D23" s="186">
        <f>'housing proportion projections'!K12</f>
        <v>157.47082833133254</v>
      </c>
      <c r="E23" s="186">
        <f>'housing proportion projections'!L12</f>
        <v>157.47082833133254</v>
      </c>
      <c r="F23" s="186">
        <f>'housing proportion projections'!M12</f>
        <v>157.47082833133254</v>
      </c>
      <c r="G23" s="218">
        <f>'housing proportion projections'!N12</f>
        <v>157.47082833133254</v>
      </c>
      <c r="H23" s="186">
        <f>'housing proportion projections'!O12</f>
        <v>157.47082833133254</v>
      </c>
      <c r="I23" s="186">
        <f>'housing proportion projections'!P12</f>
        <v>157.47082833133254</v>
      </c>
      <c r="J23" s="186">
        <f>'housing proportion projections'!Q12</f>
        <v>157.47082833133254</v>
      </c>
      <c r="K23" s="186">
        <f>'housing proportion projections'!R12</f>
        <v>157.47082833133254</v>
      </c>
      <c r="L23" s="186">
        <f>'housing proportion projections'!S12</f>
        <v>157.47082833133254</v>
      </c>
      <c r="M23" s="186">
        <f>'housing proportion projections'!T12</f>
        <v>157.47082833133254</v>
      </c>
      <c r="N23" s="186">
        <f>'housing proportion projections'!U12</f>
        <v>157.47082833133254</v>
      </c>
      <c r="O23" s="200">
        <f t="shared" si="5"/>
        <v>2047.120768307323</v>
      </c>
      <c r="P23" s="159"/>
      <c r="Q23" s="168"/>
      <c r="R23" s="147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51"/>
      <c r="AE23" s="168"/>
      <c r="AF23" s="168"/>
      <c r="AG23" s="168"/>
      <c r="AH23" s="151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</row>
    <row r="24" spans="1:70" s="152" customFormat="1" x14ac:dyDescent="0.35">
      <c r="A24" s="187" t="s">
        <v>26</v>
      </c>
      <c r="B24" s="218">
        <f>'housing proportion projections'!I13</f>
        <v>156.45450180072029</v>
      </c>
      <c r="C24" s="186">
        <f>'housing proportion projections'!J13</f>
        <v>156.45450180072029</v>
      </c>
      <c r="D24" s="186">
        <f>'housing proportion projections'!K13</f>
        <v>156.45450180072029</v>
      </c>
      <c r="E24" s="186">
        <f>'housing proportion projections'!L13</f>
        <v>156.45450180072029</v>
      </c>
      <c r="F24" s="186">
        <f>'housing proportion projections'!M13</f>
        <v>156.45450180072029</v>
      </c>
      <c r="G24" s="218">
        <f>'housing proportion projections'!N13</f>
        <v>156.45450180072029</v>
      </c>
      <c r="H24" s="186">
        <f>'housing proportion projections'!O13</f>
        <v>156.45450180072029</v>
      </c>
      <c r="I24" s="186">
        <f>'housing proportion projections'!P13</f>
        <v>156.45450180072029</v>
      </c>
      <c r="J24" s="186">
        <f>'housing proportion projections'!Q13</f>
        <v>156.45450180072029</v>
      </c>
      <c r="K24" s="186">
        <f>'housing proportion projections'!R13</f>
        <v>156.45450180072029</v>
      </c>
      <c r="L24" s="186">
        <f>'housing proportion projections'!S13</f>
        <v>156.45450180072029</v>
      </c>
      <c r="M24" s="186">
        <f>'housing proportion projections'!T13</f>
        <v>156.45450180072029</v>
      </c>
      <c r="N24" s="186">
        <f>'housing proportion projections'!U13</f>
        <v>156.45450180072029</v>
      </c>
      <c r="O24" s="200">
        <f t="shared" si="5"/>
        <v>2033.9085234093634</v>
      </c>
      <c r="P24" s="159"/>
      <c r="Q24" s="168"/>
      <c r="R24" s="147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51"/>
      <c r="AE24" s="168"/>
      <c r="AF24" s="168"/>
      <c r="AG24" s="168"/>
      <c r="AH24" s="151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</row>
    <row r="25" spans="1:70" s="158" customFormat="1" x14ac:dyDescent="0.35">
      <c r="A25" s="190" t="s">
        <v>22</v>
      </c>
      <c r="B25" s="218">
        <f>'housing proportion projections'!I14</f>
        <v>74.251620648259305</v>
      </c>
      <c r="C25" s="186">
        <f>'housing proportion projections'!J14</f>
        <v>74.251620648259305</v>
      </c>
      <c r="D25" s="186">
        <f>'housing proportion projections'!K14</f>
        <v>74.251620648259305</v>
      </c>
      <c r="E25" s="186">
        <f>'housing proportion projections'!L14</f>
        <v>74.251620648259305</v>
      </c>
      <c r="F25" s="186">
        <f>'housing proportion projections'!M14</f>
        <v>74.251620648259305</v>
      </c>
      <c r="G25" s="218">
        <f>'housing proportion projections'!N14</f>
        <v>74.251620648259305</v>
      </c>
      <c r="H25" s="186">
        <f>'housing proportion projections'!O14</f>
        <v>74.251620648259305</v>
      </c>
      <c r="I25" s="186">
        <f>'housing proportion projections'!P14</f>
        <v>74.251620648259305</v>
      </c>
      <c r="J25" s="186">
        <f>'housing proportion projections'!Q14</f>
        <v>74.251620648259305</v>
      </c>
      <c r="K25" s="186">
        <f>'housing proportion projections'!R14</f>
        <v>74.251620648259305</v>
      </c>
      <c r="L25" s="186">
        <f>'housing proportion projections'!S14</f>
        <v>74.251620648259305</v>
      </c>
      <c r="M25" s="186">
        <f>'housing proportion projections'!T14</f>
        <v>74.251620648259305</v>
      </c>
      <c r="N25" s="186">
        <f>'housing proportion projections'!U14</f>
        <v>74.251620648259305</v>
      </c>
      <c r="O25" s="200">
        <f t="shared" si="5"/>
        <v>965.27106842737089</v>
      </c>
      <c r="P25" s="167"/>
      <c r="Q25" s="168"/>
      <c r="R25" s="147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51"/>
      <c r="AE25" s="168"/>
      <c r="AF25" s="168"/>
      <c r="AG25" s="168"/>
      <c r="AH25" s="151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</row>
    <row r="26" spans="1:70" s="152" customFormat="1" ht="15" thickBot="1" x14ac:dyDescent="0.4">
      <c r="A26" s="179"/>
      <c r="B26" s="212"/>
      <c r="C26" s="179"/>
      <c r="D26" s="179"/>
      <c r="E26" s="179"/>
      <c r="F26" s="179"/>
      <c r="G26" s="212"/>
      <c r="H26" s="179"/>
      <c r="I26" s="179"/>
      <c r="J26" s="179"/>
      <c r="K26" s="179"/>
      <c r="L26" s="179"/>
      <c r="M26" s="179"/>
      <c r="N26" s="179"/>
      <c r="O26" s="179"/>
      <c r="P26" s="159"/>
      <c r="Q26" s="168"/>
      <c r="R26" s="344" t="s">
        <v>108</v>
      </c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171"/>
      <c r="AE26" s="344" t="s">
        <v>124</v>
      </c>
      <c r="AF26" s="344"/>
      <c r="AG26" s="344"/>
      <c r="AH26" s="171"/>
      <c r="AI26" s="345" t="s">
        <v>124</v>
      </c>
      <c r="AJ26" s="345"/>
      <c r="AK26" s="345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  <c r="BI26" s="168"/>
      <c r="BJ26" s="168"/>
      <c r="BK26" s="168"/>
      <c r="BL26" s="168"/>
      <c r="BM26" s="168"/>
      <c r="BN26" s="168"/>
      <c r="BO26" s="168"/>
      <c r="BP26" s="168"/>
      <c r="BQ26" s="168"/>
      <c r="BR26" s="168"/>
    </row>
    <row r="27" spans="1:70" s="156" customFormat="1" x14ac:dyDescent="0.35">
      <c r="A27" s="191" t="s">
        <v>134</v>
      </c>
      <c r="B27" s="213"/>
      <c r="C27" s="192"/>
      <c r="D27" s="192"/>
      <c r="E27" s="192"/>
      <c r="F27" s="192"/>
      <c r="G27" s="213"/>
      <c r="H27" s="192"/>
      <c r="I27" s="192"/>
      <c r="J27" s="192"/>
      <c r="K27" s="192"/>
      <c r="L27" s="192"/>
      <c r="M27" s="192"/>
      <c r="N27" s="192"/>
      <c r="O27" s="192"/>
      <c r="P27" s="161"/>
      <c r="Q27" s="168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171"/>
      <c r="AE27" s="344"/>
      <c r="AF27" s="344"/>
      <c r="AG27" s="344"/>
      <c r="AH27" s="171"/>
      <c r="AI27" s="345"/>
      <c r="AJ27" s="345"/>
      <c r="AK27" s="345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  <c r="BP27" s="168"/>
      <c r="BQ27" s="168"/>
      <c r="BR27" s="168"/>
    </row>
    <row r="28" spans="1:70" s="155" customFormat="1" x14ac:dyDescent="0.35">
      <c r="A28" s="193" t="s">
        <v>112</v>
      </c>
      <c r="B28" s="214">
        <f>((B22*$AE$28)+(B23*$AE$29)+(B24*$AE$30)+(B25*$AE$31))*30</f>
        <v>4009497.654035511</v>
      </c>
      <c r="C28" s="214">
        <f t="shared" ref="C28:F28" si="6">((C22*$AE$28)+(C23*$AE$29)+(C24*$AE$30)+(C25*$AE$31))*30</f>
        <v>4009497.654035511</v>
      </c>
      <c r="D28" s="214">
        <f t="shared" si="6"/>
        <v>4009497.654035511</v>
      </c>
      <c r="E28" s="214">
        <f t="shared" si="6"/>
        <v>4009497.654035511</v>
      </c>
      <c r="F28" s="214">
        <f t="shared" si="6"/>
        <v>4009497.654035511</v>
      </c>
      <c r="G28" s="214">
        <f>((G22*$AI$28)+(G23*$AI$29)+(G24*$AI$30)+(G25*$AI$31))*30</f>
        <v>3962368.9923046641</v>
      </c>
      <c r="H28" s="214">
        <f t="shared" ref="H28:N28" si="7">((H22*$AI$28)+(H23*$AI$29)+(H24*$AI$30)+(H25*$AI$31))*30</f>
        <v>3962368.9923046641</v>
      </c>
      <c r="I28" s="214">
        <f t="shared" si="7"/>
        <v>3962368.9923046641</v>
      </c>
      <c r="J28" s="214">
        <f t="shared" si="7"/>
        <v>3962368.9923046641</v>
      </c>
      <c r="K28" s="214">
        <f t="shared" si="7"/>
        <v>3962368.9923046641</v>
      </c>
      <c r="L28" s="214">
        <f t="shared" si="7"/>
        <v>3962368.9923046641</v>
      </c>
      <c r="M28" s="214">
        <f t="shared" si="7"/>
        <v>3962368.9923046641</v>
      </c>
      <c r="N28" s="214">
        <f t="shared" si="7"/>
        <v>3962368.9923046641</v>
      </c>
      <c r="O28" s="214">
        <f>SUM(B28:N28)</f>
        <v>51746440.208614886</v>
      </c>
      <c r="P28" s="162"/>
      <c r="Q28" s="168"/>
      <c r="R28" s="173" t="s">
        <v>70</v>
      </c>
      <c r="S28" s="172"/>
      <c r="T28" s="172"/>
      <c r="U28" s="172"/>
      <c r="V28" s="172"/>
      <c r="W28" s="172"/>
      <c r="X28" s="172"/>
      <c r="Y28" s="172"/>
      <c r="Z28" s="172"/>
      <c r="AA28" s="174">
        <f>AA18-(AA18*0.2)</f>
        <v>1359.36377952</v>
      </c>
      <c r="AB28" s="174"/>
      <c r="AC28" s="174"/>
      <c r="AD28" s="175"/>
      <c r="AE28" s="174">
        <f>AE18-(AE18*0.8)</f>
        <v>338.7023999999999</v>
      </c>
      <c r="AF28" s="174"/>
      <c r="AG28" s="174"/>
      <c r="AH28" s="175"/>
      <c r="AI28" s="174">
        <f>AI18-(AI18*0.8)</f>
        <v>335.0797571999999</v>
      </c>
      <c r="AJ28" s="174"/>
      <c r="AK28" s="174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8"/>
      <c r="BN28" s="168"/>
      <c r="BO28" s="168"/>
      <c r="BP28" s="168"/>
      <c r="BQ28" s="168"/>
      <c r="BR28" s="168"/>
    </row>
    <row r="29" spans="1:70" s="155" customFormat="1" x14ac:dyDescent="0.35">
      <c r="A29" s="193" t="s">
        <v>113</v>
      </c>
      <c r="B29" s="214">
        <f t="shared" ref="B29" si="8">B28/1000</f>
        <v>4009.497654035511</v>
      </c>
      <c r="C29" s="214">
        <f t="shared" ref="C29" si="9">C28/1000</f>
        <v>4009.497654035511</v>
      </c>
      <c r="D29" s="214">
        <f t="shared" ref="D29" si="10">D28/1000</f>
        <v>4009.497654035511</v>
      </c>
      <c r="E29" s="214">
        <f t="shared" ref="E29" si="11">E28/1000</f>
        <v>4009.497654035511</v>
      </c>
      <c r="F29" s="214">
        <f t="shared" ref="F29" si="12">F28/1000</f>
        <v>4009.497654035511</v>
      </c>
      <c r="G29" s="214">
        <f t="shared" ref="G29" si="13">G28/1000</f>
        <v>3962.3689923046641</v>
      </c>
      <c r="H29" s="214">
        <f t="shared" ref="H29" si="14">H28/1000</f>
        <v>3962.3689923046641</v>
      </c>
      <c r="I29" s="214">
        <f t="shared" ref="I29" si="15">I28/1000</f>
        <v>3962.3689923046641</v>
      </c>
      <c r="J29" s="214">
        <f t="shared" ref="J29" si="16">J28/1000</f>
        <v>3962.3689923046641</v>
      </c>
      <c r="K29" s="214">
        <f t="shared" ref="K29" si="17">K28/1000</f>
        <v>3962.3689923046641</v>
      </c>
      <c r="L29" s="214">
        <f t="shared" ref="L29" si="18">L28/1000</f>
        <v>3962.3689923046641</v>
      </c>
      <c r="M29" s="214">
        <f t="shared" ref="M29" si="19">M28/1000</f>
        <v>3962.3689923046641</v>
      </c>
      <c r="N29" s="214">
        <f t="shared" ref="N29" si="20">N28/1000</f>
        <v>3962.3689923046641</v>
      </c>
      <c r="O29" s="214">
        <f t="shared" ref="O29" si="21">O28/1000</f>
        <v>51746.440208614884</v>
      </c>
      <c r="P29" s="163"/>
      <c r="Q29" s="168"/>
      <c r="R29" s="173" t="s">
        <v>69</v>
      </c>
      <c r="S29" s="172"/>
      <c r="T29" s="172"/>
      <c r="U29" s="172"/>
      <c r="V29" s="172"/>
      <c r="W29" s="172"/>
      <c r="X29" s="172"/>
      <c r="Y29" s="172"/>
      <c r="Z29" s="172"/>
      <c r="AA29" s="174">
        <f t="shared" ref="AA29:AA31" si="22">AA19-(AA19*0.2)</f>
        <v>1031.1664000000001</v>
      </c>
      <c r="AB29" s="174"/>
      <c r="AC29" s="174"/>
      <c r="AD29" s="175"/>
      <c r="AE29" s="174">
        <f>AE19-(AE19*0.8)</f>
        <v>256.81700000000001</v>
      </c>
      <c r="AF29" s="174"/>
      <c r="AG29" s="174"/>
      <c r="AH29" s="175"/>
      <c r="AI29" s="174">
        <f>AI19-(AI19*0.8)</f>
        <v>253.71599999999989</v>
      </c>
      <c r="AJ29" s="174"/>
      <c r="AK29" s="174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8"/>
      <c r="BH29" s="168"/>
      <c r="BI29" s="168"/>
      <c r="BJ29" s="168"/>
      <c r="BK29" s="168"/>
      <c r="BL29" s="168"/>
      <c r="BM29" s="168"/>
      <c r="BN29" s="168"/>
      <c r="BO29" s="168"/>
      <c r="BP29" s="168"/>
      <c r="BQ29" s="168"/>
      <c r="BR29" s="168"/>
    </row>
    <row r="30" spans="1:70" s="155" customFormat="1" x14ac:dyDescent="0.35">
      <c r="A30" s="193" t="s">
        <v>64</v>
      </c>
      <c r="B30" s="215">
        <f t="shared" ref="B30" si="23">B29*$AB$2</f>
        <v>801899.53080710222</v>
      </c>
      <c r="C30" s="215">
        <f t="shared" ref="C30" si="24">C29*$AB$2</f>
        <v>801899.53080710222</v>
      </c>
      <c r="D30" s="215">
        <f t="shared" ref="D30" si="25">D29*$AB$2</f>
        <v>801899.53080710222</v>
      </c>
      <c r="E30" s="215">
        <f t="shared" ref="E30" si="26">E29*$AB$2</f>
        <v>801899.53080710222</v>
      </c>
      <c r="F30" s="215">
        <f t="shared" ref="F30" si="27">F29*$AB$2</f>
        <v>801899.53080710222</v>
      </c>
      <c r="G30" s="215">
        <f t="shared" ref="G30" si="28">G29*$AB$2</f>
        <v>792473.7984609328</v>
      </c>
      <c r="H30" s="215">
        <f t="shared" ref="H30" si="29">H29*$AB$2</f>
        <v>792473.7984609328</v>
      </c>
      <c r="I30" s="215">
        <f t="shared" ref="I30" si="30">I29*$AB$2</f>
        <v>792473.7984609328</v>
      </c>
      <c r="J30" s="215">
        <f t="shared" ref="J30" si="31">J29*$AB$2</f>
        <v>792473.7984609328</v>
      </c>
      <c r="K30" s="215">
        <f t="shared" ref="K30" si="32">K29*$AB$2</f>
        <v>792473.7984609328</v>
      </c>
      <c r="L30" s="215">
        <f t="shared" ref="L30" si="33">L29*$AB$2</f>
        <v>792473.7984609328</v>
      </c>
      <c r="M30" s="215">
        <f t="shared" ref="M30" si="34">M29*$AB$2</f>
        <v>792473.7984609328</v>
      </c>
      <c r="N30" s="215">
        <f t="shared" ref="N30" si="35">N29*$AB$2</f>
        <v>792473.7984609328</v>
      </c>
      <c r="O30" s="215">
        <f t="shared" ref="O30" si="36">O29*$AB$2</f>
        <v>10349288.041722978</v>
      </c>
      <c r="P30" s="162"/>
      <c r="Q30" s="168"/>
      <c r="R30" s="173" t="s">
        <v>65</v>
      </c>
      <c r="S30" s="172"/>
      <c r="T30" s="172"/>
      <c r="U30" s="172"/>
      <c r="V30" s="172"/>
      <c r="W30" s="172"/>
      <c r="X30" s="172"/>
      <c r="Y30" s="172"/>
      <c r="Z30" s="172"/>
      <c r="AA30" s="174">
        <f t="shared" si="22"/>
        <v>1126.6910110399999</v>
      </c>
      <c r="AB30" s="174"/>
      <c r="AC30" s="174"/>
      <c r="AD30" s="175"/>
      <c r="AE30" s="174">
        <f>AE20-(AE20*0.8)</f>
        <v>280.64636739999992</v>
      </c>
      <c r="AF30" s="174"/>
      <c r="AG30" s="174"/>
      <c r="AH30" s="175"/>
      <c r="AI30" s="174">
        <f>AI20-(AI20*0.8)</f>
        <v>277.38059580000004</v>
      </c>
      <c r="AJ30" s="174"/>
      <c r="AK30" s="174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</row>
    <row r="31" spans="1:70" s="157" customFormat="1" ht="15" thickBot="1" x14ac:dyDescent="0.4">
      <c r="A31" s="193"/>
      <c r="B31" s="214"/>
      <c r="C31" s="194"/>
      <c r="D31" s="194"/>
      <c r="E31" s="194"/>
      <c r="F31" s="194"/>
      <c r="G31" s="214"/>
      <c r="H31" s="194"/>
      <c r="I31" s="194"/>
      <c r="J31" s="194"/>
      <c r="K31" s="194"/>
      <c r="L31" s="194"/>
      <c r="M31" s="194"/>
      <c r="N31" s="194"/>
      <c r="O31" s="194"/>
      <c r="P31" s="164"/>
      <c r="Q31" s="168"/>
      <c r="R31" s="173" t="s">
        <v>66</v>
      </c>
      <c r="S31" s="172"/>
      <c r="T31" s="172"/>
      <c r="U31" s="172"/>
      <c r="V31" s="172"/>
      <c r="W31" s="172"/>
      <c r="X31" s="172"/>
      <c r="Y31" s="172"/>
      <c r="Z31" s="172"/>
      <c r="AA31" s="174">
        <f t="shared" si="22"/>
        <v>654.94354051999994</v>
      </c>
      <c r="AB31" s="174"/>
      <c r="AC31" s="174"/>
      <c r="AD31" s="175"/>
      <c r="AE31" s="174">
        <f>AE21-(AE21*0.8)</f>
        <v>163.00005354999996</v>
      </c>
      <c r="AF31" s="174"/>
      <c r="AG31" s="174"/>
      <c r="AH31" s="175"/>
      <c r="AI31" s="174">
        <f>AI21-(AI21*0.8)</f>
        <v>160.65877124999997</v>
      </c>
      <c r="AJ31" s="174"/>
      <c r="AK31" s="174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</row>
    <row r="32" spans="1:70" s="152" customFormat="1" ht="15.75" customHeight="1" thickBot="1" x14ac:dyDescent="0.4">
      <c r="A32" s="197"/>
      <c r="B32" s="216"/>
      <c r="C32" s="198"/>
      <c r="D32" s="198"/>
      <c r="E32" s="198"/>
      <c r="F32" s="198"/>
      <c r="G32" s="216"/>
      <c r="H32" s="198"/>
      <c r="I32" s="198"/>
      <c r="J32" s="198"/>
      <c r="K32" s="198"/>
      <c r="L32" s="198"/>
      <c r="M32" s="198"/>
      <c r="N32" s="198"/>
      <c r="O32" s="198"/>
      <c r="P32" s="159"/>
      <c r="Q32" s="168"/>
      <c r="R32" s="173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83"/>
      <c r="AE32" s="174"/>
      <c r="AF32" s="172"/>
      <c r="AG32" s="172"/>
      <c r="AH32" s="83"/>
      <c r="AI32" s="174"/>
      <c r="AJ32" s="172"/>
      <c r="AK32" s="172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</row>
    <row r="33" spans="1:70" s="152" customFormat="1" x14ac:dyDescent="0.35">
      <c r="A33" s="187"/>
      <c r="B33" s="212"/>
      <c r="C33" s="179"/>
      <c r="D33" s="179"/>
      <c r="E33" s="179"/>
      <c r="F33" s="179"/>
      <c r="G33" s="212"/>
      <c r="H33" s="179"/>
      <c r="I33" s="179"/>
      <c r="J33" s="179"/>
      <c r="K33" s="179"/>
      <c r="L33" s="179"/>
      <c r="M33" s="179"/>
      <c r="N33" s="179"/>
      <c r="O33" s="179"/>
      <c r="P33" s="159"/>
      <c r="Q33" s="168"/>
      <c r="R33" s="173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83"/>
      <c r="AE33" s="172"/>
      <c r="AF33" s="172"/>
      <c r="AG33" s="172"/>
      <c r="AH33" s="83"/>
      <c r="AI33" s="172"/>
      <c r="AJ33" s="172"/>
      <c r="AK33" s="172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8"/>
      <c r="BG33" s="168"/>
      <c r="BH33" s="168"/>
      <c r="BI33" s="168"/>
      <c r="BJ33" s="168"/>
      <c r="BK33" s="168"/>
      <c r="BL33" s="168"/>
      <c r="BM33" s="168"/>
      <c r="BN33" s="168"/>
      <c r="BO33" s="168"/>
      <c r="BP33" s="168"/>
      <c r="BQ33" s="168"/>
      <c r="BR33" s="168"/>
    </row>
    <row r="34" spans="1:70" s="152" customFormat="1" x14ac:dyDescent="0.35">
      <c r="A34" s="187"/>
      <c r="B34" s="212"/>
      <c r="C34" s="179"/>
      <c r="D34" s="179"/>
      <c r="E34" s="179"/>
      <c r="F34" s="179"/>
      <c r="G34" s="212"/>
      <c r="H34" s="179"/>
      <c r="I34" s="179"/>
      <c r="J34" s="179"/>
      <c r="K34" s="179"/>
      <c r="L34" s="179"/>
      <c r="M34" s="179"/>
      <c r="N34" s="179"/>
      <c r="O34" s="179"/>
      <c r="P34" s="159"/>
      <c r="Q34" s="168"/>
      <c r="R34" s="158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83"/>
      <c r="AE34" s="172"/>
      <c r="AF34" s="172"/>
      <c r="AG34" s="172"/>
      <c r="AH34" s="83"/>
      <c r="AI34" s="172"/>
      <c r="AJ34" s="172"/>
      <c r="AK34" s="172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8"/>
      <c r="BG34" s="168"/>
      <c r="BH34" s="168"/>
      <c r="BI34" s="168"/>
      <c r="BJ34" s="168"/>
      <c r="BK34" s="168"/>
      <c r="BL34" s="168"/>
      <c r="BM34" s="168"/>
      <c r="BN34" s="168"/>
      <c r="BO34" s="168"/>
      <c r="BP34" s="168"/>
      <c r="BQ34" s="168"/>
      <c r="BR34" s="168"/>
    </row>
    <row r="35" spans="1:70" s="152" customFormat="1" x14ac:dyDescent="0.35">
      <c r="A35" s="180" t="s">
        <v>0</v>
      </c>
      <c r="B35" s="209" t="s">
        <v>7</v>
      </c>
      <c r="C35" s="182" t="s">
        <v>8</v>
      </c>
      <c r="D35" s="182" t="s">
        <v>9</v>
      </c>
      <c r="E35" s="182" t="s">
        <v>10</v>
      </c>
      <c r="F35" s="182" t="s">
        <v>11</v>
      </c>
      <c r="G35" s="209" t="s">
        <v>12</v>
      </c>
      <c r="H35" s="182" t="s">
        <v>13</v>
      </c>
      <c r="I35" s="182" t="s">
        <v>14</v>
      </c>
      <c r="J35" s="182" t="s">
        <v>15</v>
      </c>
      <c r="K35" s="182" t="s">
        <v>16</v>
      </c>
      <c r="L35" s="183" t="s">
        <v>17</v>
      </c>
      <c r="M35" s="184" t="s">
        <v>23</v>
      </c>
      <c r="N35" s="184" t="s">
        <v>24</v>
      </c>
      <c r="O35" s="185" t="s">
        <v>18</v>
      </c>
      <c r="P35" s="160"/>
      <c r="Q35" s="168"/>
      <c r="R35" s="147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51"/>
      <c r="AE35" s="168"/>
      <c r="AF35" s="168"/>
      <c r="AG35" s="168"/>
      <c r="AH35" s="151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8"/>
      <c r="BQ35" s="168"/>
      <c r="BR35" s="168"/>
    </row>
    <row r="36" spans="1:70" s="152" customFormat="1" x14ac:dyDescent="0.35">
      <c r="A36" s="154" t="s">
        <v>53</v>
      </c>
      <c r="B36" s="217">
        <v>2870</v>
      </c>
      <c r="C36" s="186">
        <v>2870</v>
      </c>
      <c r="D36" s="186">
        <v>2870</v>
      </c>
      <c r="E36" s="186">
        <v>2870</v>
      </c>
      <c r="F36" s="186">
        <v>2870</v>
      </c>
      <c r="G36" s="217">
        <v>2870</v>
      </c>
      <c r="H36" s="186">
        <v>2870</v>
      </c>
      <c r="I36" s="186">
        <v>2870</v>
      </c>
      <c r="J36" s="186">
        <v>2870</v>
      </c>
      <c r="K36" s="186">
        <v>2870</v>
      </c>
      <c r="L36" s="186">
        <v>2870</v>
      </c>
      <c r="M36" s="186">
        <v>2870</v>
      </c>
      <c r="N36" s="186">
        <v>2870</v>
      </c>
      <c r="O36" s="194">
        <f>SUM(B36:N36)</f>
        <v>37310</v>
      </c>
      <c r="P36" s="159"/>
      <c r="Q36" s="168"/>
      <c r="R36" s="147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51"/>
      <c r="AE36" s="168"/>
      <c r="AF36" s="168"/>
      <c r="AG36" s="168"/>
      <c r="AH36" s="151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8"/>
      <c r="BQ36" s="168"/>
      <c r="BR36" s="168"/>
    </row>
    <row r="37" spans="1:70" s="152" customFormat="1" x14ac:dyDescent="0.35">
      <c r="A37" s="187" t="s">
        <v>20</v>
      </c>
      <c r="B37" s="218">
        <f>'housing proportion projections'!I16</f>
        <v>112.33585858585859</v>
      </c>
      <c r="C37" s="186">
        <f>'housing proportion projections'!J16</f>
        <v>112.33585858585859</v>
      </c>
      <c r="D37" s="186">
        <f>'housing proportion projections'!K16</f>
        <v>112.33585858585859</v>
      </c>
      <c r="E37" s="186">
        <f>'housing proportion projections'!L16</f>
        <v>112.33585858585859</v>
      </c>
      <c r="F37" s="186">
        <f>'housing proportion projections'!M16</f>
        <v>112.33585858585859</v>
      </c>
      <c r="G37" s="218">
        <f>'housing proportion projections'!N16</f>
        <v>112.33585858585859</v>
      </c>
      <c r="H37" s="186">
        <f>'housing proportion projections'!O16</f>
        <v>112.33585858585859</v>
      </c>
      <c r="I37" s="186">
        <f>'housing proportion projections'!P16</f>
        <v>112.33585858585859</v>
      </c>
      <c r="J37" s="186">
        <f>'housing proportion projections'!Q16</f>
        <v>112.33585858585859</v>
      </c>
      <c r="K37" s="186">
        <f>'housing proportion projections'!R16</f>
        <v>112.33585858585859</v>
      </c>
      <c r="L37" s="186">
        <f>'housing proportion projections'!S16</f>
        <v>112.33585858585859</v>
      </c>
      <c r="M37" s="186">
        <f>'housing proportion projections'!T16</f>
        <v>112.33585858585859</v>
      </c>
      <c r="N37" s="186">
        <f>'housing proportion projections'!U16</f>
        <v>112.33585858585859</v>
      </c>
      <c r="O37" s="194">
        <f t="shared" ref="O37:O40" si="37">SUM(B37:N37)</f>
        <v>1460.3661616161617</v>
      </c>
      <c r="P37" s="159"/>
      <c r="Q37" s="168"/>
      <c r="R37" s="147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51"/>
      <c r="AE37" s="168"/>
      <c r="AF37" s="168"/>
      <c r="AG37" s="168"/>
      <c r="AH37" s="151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8"/>
      <c r="BQ37" s="168"/>
      <c r="BR37" s="168"/>
    </row>
    <row r="38" spans="1:70" s="152" customFormat="1" x14ac:dyDescent="0.35">
      <c r="A38" s="187" t="s">
        <v>21</v>
      </c>
      <c r="B38" s="218">
        <f>'housing proportion projections'!I17</f>
        <v>694.13314176245206</v>
      </c>
      <c r="C38" s="186">
        <f>'housing proportion projections'!J17</f>
        <v>694.13314176245206</v>
      </c>
      <c r="D38" s="186">
        <f>'housing proportion projections'!K17</f>
        <v>694.13314176245206</v>
      </c>
      <c r="E38" s="186">
        <f>'housing proportion projections'!L17</f>
        <v>694.13314176245206</v>
      </c>
      <c r="F38" s="186">
        <f>'housing proportion projections'!M17</f>
        <v>694.13314176245206</v>
      </c>
      <c r="G38" s="218">
        <f>'housing proportion projections'!N17</f>
        <v>694.13314176245206</v>
      </c>
      <c r="H38" s="186">
        <f>'housing proportion projections'!O17</f>
        <v>694.13314176245206</v>
      </c>
      <c r="I38" s="186">
        <f>'housing proportion projections'!P17</f>
        <v>694.13314176245206</v>
      </c>
      <c r="J38" s="186">
        <f>'housing proportion projections'!Q17</f>
        <v>694.13314176245206</v>
      </c>
      <c r="K38" s="186">
        <f>'housing proportion projections'!R17</f>
        <v>694.13314176245206</v>
      </c>
      <c r="L38" s="186">
        <f>'housing proportion projections'!S17</f>
        <v>694.13314176245206</v>
      </c>
      <c r="M38" s="186">
        <f>'housing proportion projections'!T17</f>
        <v>694.13314176245206</v>
      </c>
      <c r="N38" s="186">
        <f>'housing proportion projections'!U17</f>
        <v>694.13314176245206</v>
      </c>
      <c r="O38" s="194">
        <f t="shared" si="37"/>
        <v>9023.7308429118784</v>
      </c>
      <c r="P38" s="159"/>
      <c r="Q38" s="168"/>
      <c r="R38" s="147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51"/>
      <c r="AE38" s="168"/>
      <c r="AF38" s="168"/>
      <c r="AG38" s="168"/>
      <c r="AH38" s="151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8"/>
      <c r="BQ38" s="168"/>
      <c r="BR38" s="168"/>
    </row>
    <row r="39" spans="1:70" s="158" customFormat="1" x14ac:dyDescent="0.35">
      <c r="A39" s="187" t="s">
        <v>26</v>
      </c>
      <c r="B39" s="218">
        <f>'housing proportion projections'!I18</f>
        <v>999.02690700104483</v>
      </c>
      <c r="C39" s="186">
        <f>'housing proportion projections'!J18</f>
        <v>999.02690700104483</v>
      </c>
      <c r="D39" s="186">
        <f>'housing proportion projections'!K18</f>
        <v>999.02690700104483</v>
      </c>
      <c r="E39" s="186">
        <f>'housing proportion projections'!L18</f>
        <v>999.02690700104483</v>
      </c>
      <c r="F39" s="186">
        <f>'housing proportion projections'!M18</f>
        <v>999.02690700104483</v>
      </c>
      <c r="G39" s="218">
        <f>'housing proportion projections'!N18</f>
        <v>999.02690700104483</v>
      </c>
      <c r="H39" s="186">
        <f>'housing proportion projections'!O18</f>
        <v>999.02690700104483</v>
      </c>
      <c r="I39" s="186">
        <f>'housing proportion projections'!P18</f>
        <v>999.02690700104483</v>
      </c>
      <c r="J39" s="186">
        <f>'housing proportion projections'!Q18</f>
        <v>999.02690700104483</v>
      </c>
      <c r="K39" s="186">
        <f>'housing proportion projections'!R18</f>
        <v>999.02690700104483</v>
      </c>
      <c r="L39" s="186">
        <f>'housing proportion projections'!S18</f>
        <v>999.02690700104483</v>
      </c>
      <c r="M39" s="186">
        <f>'housing proportion projections'!T18</f>
        <v>999.02690700104483</v>
      </c>
      <c r="N39" s="186">
        <f>'housing proportion projections'!U18</f>
        <v>999.02690700104483</v>
      </c>
      <c r="O39" s="194">
        <f t="shared" si="37"/>
        <v>12987.349791013585</v>
      </c>
      <c r="P39" s="167"/>
      <c r="Q39" s="168"/>
      <c r="R39" s="147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51"/>
      <c r="AE39" s="168"/>
      <c r="AF39" s="168"/>
      <c r="AG39" s="168"/>
      <c r="AH39" s="151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68"/>
      <c r="BJ39" s="168"/>
      <c r="BK39" s="168"/>
      <c r="BL39" s="168"/>
      <c r="BM39" s="168"/>
      <c r="BN39" s="168"/>
      <c r="BO39" s="168"/>
      <c r="BP39" s="168"/>
      <c r="BQ39" s="168"/>
      <c r="BR39" s="168"/>
    </row>
    <row r="40" spans="1:70" s="152" customFormat="1" ht="15" thickBot="1" x14ac:dyDescent="0.4">
      <c r="A40" s="190" t="s">
        <v>22</v>
      </c>
      <c r="B40" s="218">
        <f>'housing proportion projections'!I19</f>
        <v>1064.6290491118077</v>
      </c>
      <c r="C40" s="186">
        <f>'housing proportion projections'!J19</f>
        <v>1064.6290491118077</v>
      </c>
      <c r="D40" s="186">
        <f>'housing proportion projections'!K19</f>
        <v>1064.6290491118077</v>
      </c>
      <c r="E40" s="186">
        <f>'housing proportion projections'!L19</f>
        <v>1064.6290491118077</v>
      </c>
      <c r="F40" s="186">
        <f>'housing proportion projections'!M19</f>
        <v>1064.6290491118077</v>
      </c>
      <c r="G40" s="218">
        <f>'housing proportion projections'!N19</f>
        <v>1064.6290491118077</v>
      </c>
      <c r="H40" s="186">
        <f>'housing proportion projections'!O19</f>
        <v>1064.6290491118077</v>
      </c>
      <c r="I40" s="186">
        <f>'housing proportion projections'!P19</f>
        <v>1064.6290491118077</v>
      </c>
      <c r="J40" s="186">
        <f>'housing proportion projections'!Q19</f>
        <v>1064.6290491118077</v>
      </c>
      <c r="K40" s="186">
        <f>'housing proportion projections'!R19</f>
        <v>1064.6290491118077</v>
      </c>
      <c r="L40" s="186">
        <f>'housing proportion projections'!S19</f>
        <v>1064.6290491118077</v>
      </c>
      <c r="M40" s="186">
        <f>'housing proportion projections'!T19</f>
        <v>1064.6290491118077</v>
      </c>
      <c r="N40" s="186">
        <f>'housing proportion projections'!U19</f>
        <v>1064.6290491118077</v>
      </c>
      <c r="O40" s="194">
        <f t="shared" si="37"/>
        <v>13840.177638453497</v>
      </c>
      <c r="P40" s="159"/>
      <c r="Q40" s="168"/>
      <c r="R40" s="147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51"/>
      <c r="AE40" s="168"/>
      <c r="AF40" s="168"/>
      <c r="AG40" s="168"/>
      <c r="AH40" s="151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8"/>
      <c r="BC40" s="168"/>
      <c r="BD40" s="168"/>
      <c r="BE40" s="168"/>
      <c r="BF40" s="168"/>
      <c r="BG40" s="168"/>
      <c r="BH40" s="168"/>
      <c r="BI40" s="168"/>
      <c r="BJ40" s="168"/>
      <c r="BK40" s="168"/>
      <c r="BL40" s="168"/>
      <c r="BM40" s="168"/>
      <c r="BN40" s="168"/>
      <c r="BO40" s="168"/>
      <c r="BP40" s="168"/>
      <c r="BQ40" s="168"/>
      <c r="BR40" s="168"/>
    </row>
    <row r="41" spans="1:70" s="156" customFormat="1" ht="15" thickBot="1" x14ac:dyDescent="0.4">
      <c r="A41" s="179"/>
      <c r="B41" s="212"/>
      <c r="C41" s="179"/>
      <c r="D41" s="179"/>
      <c r="E41" s="179"/>
      <c r="F41" s="179"/>
      <c r="G41" s="212"/>
      <c r="H41" s="179"/>
      <c r="I41" s="179"/>
      <c r="J41" s="179"/>
      <c r="K41" s="179"/>
      <c r="L41" s="179"/>
      <c r="M41" s="179"/>
      <c r="N41" s="179"/>
      <c r="O41" s="179"/>
      <c r="P41" s="161"/>
      <c r="Q41" s="168"/>
      <c r="R41" s="147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51"/>
      <c r="AE41" s="168"/>
      <c r="AF41" s="168"/>
      <c r="AG41" s="168"/>
      <c r="AH41" s="151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68"/>
      <c r="BD41" s="168"/>
      <c r="BE41" s="168"/>
      <c r="BF41" s="168"/>
      <c r="BG41" s="168"/>
      <c r="BH41" s="168"/>
      <c r="BI41" s="168"/>
      <c r="BJ41" s="168"/>
      <c r="BK41" s="168"/>
      <c r="BL41" s="168"/>
      <c r="BM41" s="168"/>
      <c r="BN41" s="168"/>
      <c r="BO41" s="168"/>
      <c r="BP41" s="168"/>
      <c r="BQ41" s="168"/>
      <c r="BR41" s="168"/>
    </row>
    <row r="42" spans="1:70" s="155" customFormat="1" x14ac:dyDescent="0.35">
      <c r="A42" s="191" t="s">
        <v>134</v>
      </c>
      <c r="B42" s="213"/>
      <c r="C42" s="192"/>
      <c r="D42" s="192"/>
      <c r="E42" s="192"/>
      <c r="F42" s="192"/>
      <c r="G42" s="213"/>
      <c r="H42" s="192"/>
      <c r="I42" s="192"/>
      <c r="J42" s="192"/>
      <c r="K42" s="192"/>
      <c r="L42" s="192"/>
      <c r="M42" s="192"/>
      <c r="N42" s="192"/>
      <c r="O42" s="192"/>
      <c r="P42" s="162"/>
      <c r="Q42" s="168"/>
      <c r="R42" s="147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51"/>
      <c r="AE42" s="168"/>
      <c r="AF42" s="168"/>
      <c r="AG42" s="168"/>
      <c r="AH42" s="151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68"/>
      <c r="BD42" s="168"/>
      <c r="BE42" s="168"/>
      <c r="BF42" s="168"/>
      <c r="BG42" s="168"/>
      <c r="BH42" s="168"/>
      <c r="BI42" s="168"/>
      <c r="BJ42" s="168"/>
      <c r="BK42" s="168"/>
      <c r="BL42" s="168"/>
      <c r="BM42" s="168"/>
      <c r="BN42" s="168"/>
      <c r="BO42" s="168"/>
      <c r="BP42" s="168"/>
      <c r="BQ42" s="168"/>
      <c r="BR42" s="168"/>
    </row>
    <row r="43" spans="1:70" s="155" customFormat="1" x14ac:dyDescent="0.35">
      <c r="A43" s="193" t="s">
        <v>112</v>
      </c>
      <c r="B43" s="214">
        <f>((B37*$AE$28)+(B38*$AE$29)+(B39*$AE$30)+(B40*$AE$31))*30</f>
        <v>20106644.411337286</v>
      </c>
      <c r="C43" s="214">
        <f t="shared" ref="C43:F43" si="38">((C37*$AE$28)+(C38*$AE$29)+(C39*$AE$30)+(C40*$AE$31))*30</f>
        <v>20106644.411337286</v>
      </c>
      <c r="D43" s="214">
        <f t="shared" si="38"/>
        <v>20106644.411337286</v>
      </c>
      <c r="E43" s="214">
        <f t="shared" si="38"/>
        <v>20106644.411337286</v>
      </c>
      <c r="F43" s="214">
        <f t="shared" si="38"/>
        <v>20106644.411337286</v>
      </c>
      <c r="G43" s="214">
        <f>((G37*$AI$28)+(G38*$AI$29)+(G39*$AI$30)+(G40*$AI$31))*30</f>
        <v>19857204.899002358</v>
      </c>
      <c r="H43" s="214">
        <f t="shared" ref="H43:N43" si="39">((H37*$AI$28)+(H38*$AI$29)+(H39*$AI$30)+(H40*$AI$31))*30</f>
        <v>19857204.899002358</v>
      </c>
      <c r="I43" s="214">
        <f t="shared" si="39"/>
        <v>19857204.899002358</v>
      </c>
      <c r="J43" s="214">
        <f t="shared" si="39"/>
        <v>19857204.899002358</v>
      </c>
      <c r="K43" s="214">
        <f t="shared" si="39"/>
        <v>19857204.899002358</v>
      </c>
      <c r="L43" s="214">
        <f t="shared" si="39"/>
        <v>19857204.899002358</v>
      </c>
      <c r="M43" s="214">
        <f t="shared" si="39"/>
        <v>19857204.899002358</v>
      </c>
      <c r="N43" s="214">
        <f t="shared" si="39"/>
        <v>19857204.899002358</v>
      </c>
      <c r="O43" s="214">
        <f>SUM(B43:N43)</f>
        <v>259390861.24870539</v>
      </c>
      <c r="P43" s="163"/>
      <c r="Q43" s="168"/>
      <c r="R43" s="147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51"/>
      <c r="AE43" s="168"/>
      <c r="AF43" s="168"/>
      <c r="AG43" s="168"/>
      <c r="AH43" s="151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68"/>
      <c r="BD43" s="168"/>
      <c r="BE43" s="168"/>
      <c r="BF43" s="168"/>
      <c r="BG43" s="168"/>
      <c r="BH43" s="168"/>
      <c r="BI43" s="168"/>
      <c r="BJ43" s="168"/>
      <c r="BK43" s="168"/>
      <c r="BL43" s="168"/>
      <c r="BM43" s="168"/>
      <c r="BN43" s="168"/>
      <c r="BO43" s="168"/>
      <c r="BP43" s="168"/>
      <c r="BQ43" s="168"/>
      <c r="BR43" s="168"/>
    </row>
    <row r="44" spans="1:70" s="155" customFormat="1" x14ac:dyDescent="0.35">
      <c r="A44" s="193" t="s">
        <v>113</v>
      </c>
      <c r="B44" s="214">
        <f t="shared" ref="B44" si="40">B43/1000</f>
        <v>20106.644411337285</v>
      </c>
      <c r="C44" s="214">
        <f t="shared" ref="C44" si="41">C43/1000</f>
        <v>20106.644411337285</v>
      </c>
      <c r="D44" s="214">
        <f t="shared" ref="D44" si="42">D43/1000</f>
        <v>20106.644411337285</v>
      </c>
      <c r="E44" s="214">
        <f t="shared" ref="E44" si="43">E43/1000</f>
        <v>20106.644411337285</v>
      </c>
      <c r="F44" s="214">
        <f t="shared" ref="F44" si="44">F43/1000</f>
        <v>20106.644411337285</v>
      </c>
      <c r="G44" s="214">
        <f t="shared" ref="G44" si="45">G43/1000</f>
        <v>19857.204899002358</v>
      </c>
      <c r="H44" s="214">
        <f t="shared" ref="H44" si="46">H43/1000</f>
        <v>19857.204899002358</v>
      </c>
      <c r="I44" s="214">
        <f t="shared" ref="I44" si="47">I43/1000</f>
        <v>19857.204899002358</v>
      </c>
      <c r="J44" s="214">
        <f t="shared" ref="J44" si="48">J43/1000</f>
        <v>19857.204899002358</v>
      </c>
      <c r="K44" s="214">
        <f t="shared" ref="K44" si="49">K43/1000</f>
        <v>19857.204899002358</v>
      </c>
      <c r="L44" s="214">
        <f t="shared" ref="L44" si="50">L43/1000</f>
        <v>19857.204899002358</v>
      </c>
      <c r="M44" s="214">
        <f t="shared" ref="M44" si="51">M43/1000</f>
        <v>19857.204899002358</v>
      </c>
      <c r="N44" s="214">
        <f t="shared" ref="N44" si="52">N43/1000</f>
        <v>19857.204899002358</v>
      </c>
      <c r="O44" s="215">
        <f t="shared" ref="O44" si="53">O43/1000</f>
        <v>259390.86124870539</v>
      </c>
      <c r="P44" s="162"/>
      <c r="Q44" s="168"/>
      <c r="R44" s="147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51"/>
      <c r="AE44" s="168"/>
      <c r="AF44" s="168"/>
      <c r="AG44" s="168"/>
      <c r="AH44" s="151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</row>
    <row r="45" spans="1:70" s="157" customFormat="1" ht="15" thickBot="1" x14ac:dyDescent="0.4">
      <c r="A45" s="193" t="s">
        <v>64</v>
      </c>
      <c r="B45" s="215">
        <f t="shared" ref="B45" si="54">B44*$AB$2</f>
        <v>4021328.882267457</v>
      </c>
      <c r="C45" s="215">
        <f t="shared" ref="C45" si="55">C44*$AB$2</f>
        <v>4021328.882267457</v>
      </c>
      <c r="D45" s="215">
        <f t="shared" ref="D45" si="56">D44*$AB$2</f>
        <v>4021328.882267457</v>
      </c>
      <c r="E45" s="215">
        <f t="shared" ref="E45" si="57">E44*$AB$2</f>
        <v>4021328.882267457</v>
      </c>
      <c r="F45" s="215">
        <f t="shared" ref="F45" si="58">F44*$AB$2</f>
        <v>4021328.882267457</v>
      </c>
      <c r="G45" s="215">
        <f t="shared" ref="G45" si="59">G44*$AB$2</f>
        <v>3971440.9798004716</v>
      </c>
      <c r="H45" s="215">
        <f t="shared" ref="H45" si="60">H44*$AB$2</f>
        <v>3971440.9798004716</v>
      </c>
      <c r="I45" s="215">
        <f t="shared" ref="I45" si="61">I44*$AB$2</f>
        <v>3971440.9798004716</v>
      </c>
      <c r="J45" s="215">
        <f t="shared" ref="J45" si="62">J44*$AB$2</f>
        <v>3971440.9798004716</v>
      </c>
      <c r="K45" s="215">
        <f t="shared" ref="K45" si="63">K44*$AB$2</f>
        <v>3971440.9798004716</v>
      </c>
      <c r="L45" s="215">
        <f t="shared" ref="L45" si="64">L44*$AB$2</f>
        <v>3971440.9798004716</v>
      </c>
      <c r="M45" s="215">
        <f t="shared" ref="M45" si="65">M44*$AB$2</f>
        <v>3971440.9798004716</v>
      </c>
      <c r="N45" s="215">
        <f t="shared" ref="N45" si="66">N44*$AB$2</f>
        <v>3971440.9798004716</v>
      </c>
      <c r="O45" s="215">
        <f t="shared" ref="O45" si="67">O44*$AB$2</f>
        <v>51878172.249741077</v>
      </c>
      <c r="P45" s="164"/>
      <c r="Q45" s="168"/>
      <c r="R45" s="147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51"/>
      <c r="AE45" s="168"/>
      <c r="AF45" s="168"/>
      <c r="AG45" s="168"/>
      <c r="AH45" s="151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8"/>
      <c r="BC45" s="168"/>
      <c r="BD45" s="168"/>
      <c r="BE45" s="168"/>
      <c r="BF45" s="168"/>
      <c r="BG45" s="168"/>
      <c r="BH45" s="168"/>
      <c r="BI45" s="168"/>
      <c r="BJ45" s="168"/>
      <c r="BK45" s="168"/>
      <c r="BL45" s="168"/>
      <c r="BM45" s="168"/>
      <c r="BN45" s="168"/>
      <c r="BO45" s="168"/>
      <c r="BP45" s="168"/>
      <c r="BQ45" s="168"/>
      <c r="BR45" s="168"/>
    </row>
    <row r="46" spans="1:70" s="152" customFormat="1" x14ac:dyDescent="0.35">
      <c r="A46" s="193"/>
      <c r="B46" s="214"/>
      <c r="C46" s="194"/>
      <c r="D46" s="194"/>
      <c r="E46" s="194"/>
      <c r="F46" s="194"/>
      <c r="G46" s="214"/>
      <c r="H46" s="194"/>
      <c r="I46" s="194"/>
      <c r="J46" s="194"/>
      <c r="K46" s="194"/>
      <c r="L46" s="194"/>
      <c r="M46" s="194"/>
      <c r="N46" s="194"/>
      <c r="O46" s="194"/>
      <c r="P46" s="159"/>
      <c r="Q46" s="168"/>
      <c r="R46" s="147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51"/>
      <c r="AE46" s="168"/>
      <c r="AF46" s="168"/>
      <c r="AG46" s="168"/>
      <c r="AH46" s="151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8"/>
      <c r="BQ46" s="168"/>
      <c r="BR46" s="168"/>
    </row>
    <row r="47" spans="1:70" s="152" customFormat="1" ht="15" thickBot="1" x14ac:dyDescent="0.4">
      <c r="A47" s="197"/>
      <c r="B47" s="216"/>
      <c r="C47" s="198"/>
      <c r="D47" s="198"/>
      <c r="E47" s="198"/>
      <c r="F47" s="198"/>
      <c r="G47" s="216"/>
      <c r="H47" s="198"/>
      <c r="I47" s="198"/>
      <c r="J47" s="198"/>
      <c r="K47" s="198"/>
      <c r="L47" s="198"/>
      <c r="M47" s="198"/>
      <c r="N47" s="198"/>
      <c r="O47" s="198"/>
      <c r="P47" s="159"/>
      <c r="Q47" s="168"/>
      <c r="R47" s="147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51"/>
      <c r="AE47" s="168"/>
      <c r="AF47" s="168"/>
      <c r="AG47" s="168"/>
      <c r="AH47" s="151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168"/>
      <c r="AT47" s="168"/>
      <c r="AU47" s="168"/>
      <c r="AV47" s="168"/>
      <c r="AW47" s="168"/>
      <c r="AX47" s="168"/>
      <c r="AY47" s="168"/>
      <c r="AZ47" s="168"/>
      <c r="BA47" s="168"/>
      <c r="BB47" s="168"/>
      <c r="BC47" s="168"/>
      <c r="BD47" s="168"/>
      <c r="BE47" s="168"/>
      <c r="BF47" s="168"/>
      <c r="BG47" s="168"/>
      <c r="BH47" s="168"/>
      <c r="BI47" s="168"/>
      <c r="BJ47" s="168"/>
      <c r="BK47" s="168"/>
      <c r="BL47" s="168"/>
      <c r="BM47" s="168"/>
      <c r="BN47" s="168"/>
      <c r="BO47" s="168"/>
      <c r="BP47" s="168"/>
      <c r="BQ47" s="168"/>
      <c r="BR47" s="168"/>
    </row>
    <row r="48" spans="1:70" s="152" customFormat="1" x14ac:dyDescent="0.35">
      <c r="A48" s="154"/>
      <c r="B48" s="212"/>
      <c r="C48" s="179"/>
      <c r="D48" s="179"/>
      <c r="E48" s="179"/>
      <c r="F48" s="179"/>
      <c r="G48" s="212"/>
      <c r="H48" s="179"/>
      <c r="I48" s="179"/>
      <c r="J48" s="179"/>
      <c r="K48" s="179"/>
      <c r="L48" s="179"/>
      <c r="M48" s="179"/>
      <c r="N48" s="179"/>
      <c r="O48" s="179"/>
      <c r="P48" s="159"/>
      <c r="Q48" s="168"/>
      <c r="R48" s="147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51"/>
      <c r="AE48" s="168"/>
      <c r="AF48" s="168"/>
      <c r="AG48" s="168"/>
      <c r="AH48" s="151"/>
      <c r="AI48" s="168"/>
      <c r="AJ48" s="168"/>
      <c r="AK48" s="168"/>
      <c r="AL48" s="168"/>
      <c r="AM48" s="168"/>
      <c r="AN48" s="168"/>
      <c r="AO48" s="168"/>
      <c r="AP48" s="168"/>
      <c r="AQ48" s="168"/>
      <c r="AR48" s="168"/>
      <c r="AS48" s="168"/>
      <c r="AT48" s="168"/>
      <c r="AU48" s="168"/>
      <c r="AV48" s="168"/>
      <c r="AW48" s="168"/>
      <c r="AX48" s="168"/>
      <c r="AY48" s="168"/>
      <c r="AZ48" s="168"/>
      <c r="BA48" s="168"/>
      <c r="BB48" s="168"/>
      <c r="BC48" s="168"/>
      <c r="BD48" s="168"/>
      <c r="BE48" s="168"/>
      <c r="BF48" s="168"/>
      <c r="BG48" s="168"/>
      <c r="BH48" s="168"/>
      <c r="BI48" s="168"/>
      <c r="BJ48" s="168"/>
      <c r="BK48" s="168"/>
      <c r="BL48" s="168"/>
      <c r="BM48" s="168"/>
      <c r="BN48" s="168"/>
      <c r="BO48" s="168"/>
      <c r="BP48" s="168"/>
      <c r="BQ48" s="168"/>
      <c r="BR48" s="168"/>
    </row>
    <row r="49" spans="1:70" s="152" customFormat="1" x14ac:dyDescent="0.35">
      <c r="A49" s="204"/>
      <c r="B49" s="212"/>
      <c r="C49" s="179"/>
      <c r="D49" s="179"/>
      <c r="E49" s="179"/>
      <c r="F49" s="179"/>
      <c r="G49" s="212"/>
      <c r="H49" s="179"/>
      <c r="I49" s="179"/>
      <c r="J49" s="179"/>
      <c r="K49" s="179"/>
      <c r="L49" s="179"/>
      <c r="M49" s="179"/>
      <c r="N49" s="179"/>
      <c r="O49" s="179"/>
      <c r="P49" s="160"/>
      <c r="Q49" s="168"/>
      <c r="R49" s="147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51"/>
      <c r="AE49" s="168"/>
      <c r="AF49" s="168"/>
      <c r="AG49" s="168"/>
      <c r="AH49" s="151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8"/>
      <c r="BR49" s="168"/>
    </row>
    <row r="50" spans="1:70" s="152" customFormat="1" x14ac:dyDescent="0.35">
      <c r="A50" s="180" t="s">
        <v>0</v>
      </c>
      <c r="B50" s="209" t="s">
        <v>7</v>
      </c>
      <c r="C50" s="182" t="s">
        <v>8</v>
      </c>
      <c r="D50" s="182" t="s">
        <v>9</v>
      </c>
      <c r="E50" s="182" t="s">
        <v>10</v>
      </c>
      <c r="F50" s="182" t="s">
        <v>11</v>
      </c>
      <c r="G50" s="209" t="s">
        <v>12</v>
      </c>
      <c r="H50" s="182" t="s">
        <v>13</v>
      </c>
      <c r="I50" s="182" t="s">
        <v>14</v>
      </c>
      <c r="J50" s="182" t="s">
        <v>15</v>
      </c>
      <c r="K50" s="182" t="s">
        <v>16</v>
      </c>
      <c r="L50" s="183" t="s">
        <v>17</v>
      </c>
      <c r="M50" s="184" t="s">
        <v>23</v>
      </c>
      <c r="N50" s="184" t="s">
        <v>24</v>
      </c>
      <c r="O50" s="185" t="s">
        <v>18</v>
      </c>
      <c r="P50" s="159"/>
      <c r="Q50" s="168"/>
      <c r="R50" s="147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51"/>
      <c r="AE50" s="168"/>
      <c r="AF50" s="168"/>
      <c r="AG50" s="168"/>
      <c r="AH50" s="151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68"/>
      <c r="BB50" s="168"/>
      <c r="BC50" s="168"/>
      <c r="BD50" s="168"/>
      <c r="BE50" s="168"/>
      <c r="BF50" s="168"/>
      <c r="BG50" s="168"/>
      <c r="BH50" s="168"/>
      <c r="BI50" s="168"/>
      <c r="BJ50" s="168"/>
      <c r="BK50" s="168"/>
      <c r="BL50" s="168"/>
      <c r="BM50" s="168"/>
      <c r="BN50" s="168"/>
      <c r="BO50" s="168"/>
      <c r="BP50" s="168"/>
      <c r="BQ50" s="168"/>
      <c r="BR50" s="168"/>
    </row>
    <row r="51" spans="1:70" s="152" customFormat="1" x14ac:dyDescent="0.35">
      <c r="A51" s="154" t="s">
        <v>29</v>
      </c>
      <c r="B51" s="217">
        <v>752</v>
      </c>
      <c r="C51" s="186">
        <v>752</v>
      </c>
      <c r="D51" s="186">
        <v>752</v>
      </c>
      <c r="E51" s="186">
        <v>752</v>
      </c>
      <c r="F51" s="186">
        <v>752</v>
      </c>
      <c r="G51" s="217">
        <v>752</v>
      </c>
      <c r="H51" s="186">
        <v>752</v>
      </c>
      <c r="I51" s="186">
        <v>752</v>
      </c>
      <c r="J51" s="186">
        <v>752</v>
      </c>
      <c r="K51" s="186">
        <v>752</v>
      </c>
      <c r="L51" s="186">
        <v>752</v>
      </c>
      <c r="M51" s="186">
        <v>752</v>
      </c>
      <c r="N51" s="186">
        <v>752</v>
      </c>
      <c r="O51" s="194">
        <f>SUM(B51:N51)</f>
        <v>9776</v>
      </c>
      <c r="P51" s="159"/>
      <c r="Q51" s="168"/>
      <c r="R51" s="147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51"/>
      <c r="AE51" s="168"/>
      <c r="AF51" s="168"/>
      <c r="AG51" s="168"/>
      <c r="AH51" s="151"/>
      <c r="AI51" s="168"/>
      <c r="AJ51" s="168"/>
      <c r="AK51" s="168"/>
      <c r="AL51" s="168"/>
      <c r="AM51" s="168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  <c r="BP51" s="168"/>
      <c r="BQ51" s="168"/>
      <c r="BR51" s="168"/>
    </row>
    <row r="52" spans="1:70" s="152" customFormat="1" x14ac:dyDescent="0.35">
      <c r="A52" s="187" t="s">
        <v>20</v>
      </c>
      <c r="B52" s="218">
        <f>'housing proportion projections'!I21</f>
        <v>138.12725942952667</v>
      </c>
      <c r="C52" s="186">
        <f>'housing proportion projections'!J21</f>
        <v>138.12725942952667</v>
      </c>
      <c r="D52" s="186">
        <f>'housing proportion projections'!K21</f>
        <v>138.12725942952667</v>
      </c>
      <c r="E52" s="186">
        <f>'housing proportion projections'!L21</f>
        <v>138.12725942952667</v>
      </c>
      <c r="F52" s="186">
        <f>'housing proportion projections'!M21</f>
        <v>138.12725942952667</v>
      </c>
      <c r="G52" s="218">
        <f>'housing proportion projections'!N21</f>
        <v>138.12725942952667</v>
      </c>
      <c r="H52" s="186">
        <f>'housing proportion projections'!O21</f>
        <v>138.12725942952667</v>
      </c>
      <c r="I52" s="186">
        <f>'housing proportion projections'!P21</f>
        <v>138.12725942952667</v>
      </c>
      <c r="J52" s="186">
        <f>'housing proportion projections'!Q21</f>
        <v>138.12725942952667</v>
      </c>
      <c r="K52" s="186">
        <f>'housing proportion projections'!R21</f>
        <v>138.12725942952667</v>
      </c>
      <c r="L52" s="186">
        <f>'housing proportion projections'!S21</f>
        <v>138.12725942952667</v>
      </c>
      <c r="M52" s="186">
        <f>'housing proportion projections'!T21</f>
        <v>138.12725942952667</v>
      </c>
      <c r="N52" s="186">
        <f>'housing proportion projections'!U21</f>
        <v>138.12725942952667</v>
      </c>
      <c r="O52" s="194">
        <f t="shared" ref="O52:O55" si="68">SUM(B52:N52)</f>
        <v>1795.6543725838469</v>
      </c>
      <c r="P52" s="159"/>
      <c r="Q52" s="168"/>
      <c r="R52" s="147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51"/>
      <c r="AE52" s="168"/>
      <c r="AF52" s="168"/>
      <c r="AG52" s="168"/>
      <c r="AH52" s="151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8"/>
      <c r="BQ52" s="168"/>
      <c r="BR52" s="168"/>
    </row>
    <row r="53" spans="1:70" s="158" customFormat="1" x14ac:dyDescent="0.35">
      <c r="A53" s="187" t="s">
        <v>21</v>
      </c>
      <c r="B53" s="218">
        <f>'housing proportion projections'!I22</f>
        <v>183.85539651029151</v>
      </c>
      <c r="C53" s="186">
        <f>'housing proportion projections'!J22</f>
        <v>183.85539651029151</v>
      </c>
      <c r="D53" s="186">
        <f>'housing proportion projections'!K22</f>
        <v>183.85539651029151</v>
      </c>
      <c r="E53" s="186">
        <f>'housing proportion projections'!L22</f>
        <v>183.85539651029151</v>
      </c>
      <c r="F53" s="186">
        <f>'housing proportion projections'!M22</f>
        <v>183.85539651029151</v>
      </c>
      <c r="G53" s="218">
        <f>'housing proportion projections'!N22</f>
        <v>183.85539651029151</v>
      </c>
      <c r="H53" s="186">
        <f>'housing proportion projections'!O22</f>
        <v>183.85539651029151</v>
      </c>
      <c r="I53" s="186">
        <f>'housing proportion projections'!P22</f>
        <v>183.85539651029151</v>
      </c>
      <c r="J53" s="186">
        <f>'housing proportion projections'!Q22</f>
        <v>183.85539651029151</v>
      </c>
      <c r="K53" s="186">
        <f>'housing proportion projections'!R22</f>
        <v>183.85539651029151</v>
      </c>
      <c r="L53" s="186">
        <f>'housing proportion projections'!S22</f>
        <v>183.85539651029151</v>
      </c>
      <c r="M53" s="186">
        <f>'housing proportion projections'!T22</f>
        <v>183.85539651029151</v>
      </c>
      <c r="N53" s="186">
        <f>'housing proportion projections'!U22</f>
        <v>183.85539651029151</v>
      </c>
      <c r="O53" s="194">
        <f t="shared" si="68"/>
        <v>2390.1201546337898</v>
      </c>
      <c r="P53" s="167"/>
      <c r="Q53" s="168"/>
      <c r="R53" s="147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51"/>
      <c r="AE53" s="168"/>
      <c r="AF53" s="168"/>
      <c r="AG53" s="168"/>
      <c r="AH53" s="151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8"/>
      <c r="BQ53" s="168"/>
      <c r="BR53" s="168"/>
    </row>
    <row r="54" spans="1:70" s="152" customFormat="1" ht="15.75" customHeight="1" thickBot="1" x14ac:dyDescent="0.4">
      <c r="A54" s="187" t="s">
        <v>26</v>
      </c>
      <c r="B54" s="218">
        <f>'housing proportion projections'!I23</f>
        <v>333.06112213979731</v>
      </c>
      <c r="C54" s="186">
        <f>'housing proportion projections'!J23</f>
        <v>333.06112213979731</v>
      </c>
      <c r="D54" s="186">
        <f>'housing proportion projections'!K23</f>
        <v>333.06112213979731</v>
      </c>
      <c r="E54" s="186">
        <f>'housing proportion projections'!L23</f>
        <v>333.06112213979731</v>
      </c>
      <c r="F54" s="186">
        <f>'housing proportion projections'!M23</f>
        <v>333.06112213979731</v>
      </c>
      <c r="G54" s="218">
        <f>'housing proportion projections'!N23</f>
        <v>333.06112213979731</v>
      </c>
      <c r="H54" s="186">
        <f>'housing proportion projections'!O23</f>
        <v>333.06112213979731</v>
      </c>
      <c r="I54" s="186">
        <f>'housing proportion projections'!P23</f>
        <v>333.06112213979731</v>
      </c>
      <c r="J54" s="186">
        <f>'housing proportion projections'!Q23</f>
        <v>333.06112213979731</v>
      </c>
      <c r="K54" s="186">
        <f>'housing proportion projections'!R23</f>
        <v>333.06112213979731</v>
      </c>
      <c r="L54" s="186">
        <f>'housing proportion projections'!S23</f>
        <v>333.06112213979731</v>
      </c>
      <c r="M54" s="186">
        <f>'housing proportion projections'!T23</f>
        <v>333.06112213979731</v>
      </c>
      <c r="N54" s="186">
        <f>'housing proportion projections'!U23</f>
        <v>333.06112213979731</v>
      </c>
      <c r="O54" s="194">
        <f t="shared" si="68"/>
        <v>4329.7945878173641</v>
      </c>
      <c r="P54" s="159"/>
      <c r="Q54" s="168"/>
      <c r="R54" s="147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51"/>
      <c r="AE54" s="168"/>
      <c r="AF54" s="168"/>
      <c r="AG54" s="168"/>
      <c r="AH54" s="151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168"/>
      <c r="AT54" s="168"/>
      <c r="AU54" s="168"/>
      <c r="AV54" s="168"/>
      <c r="AW54" s="168"/>
      <c r="AX54" s="168"/>
      <c r="AY54" s="168"/>
      <c r="AZ54" s="168"/>
      <c r="BA54" s="168"/>
      <c r="BB54" s="168"/>
      <c r="BC54" s="168"/>
      <c r="BD54" s="168"/>
      <c r="BE54" s="168"/>
      <c r="BF54" s="168"/>
      <c r="BG54" s="168"/>
      <c r="BH54" s="168"/>
      <c r="BI54" s="168"/>
      <c r="BJ54" s="168"/>
      <c r="BK54" s="168"/>
      <c r="BL54" s="168"/>
      <c r="BM54" s="168"/>
      <c r="BN54" s="168"/>
      <c r="BO54" s="168"/>
      <c r="BP54" s="168"/>
      <c r="BQ54" s="168"/>
      <c r="BR54" s="168"/>
    </row>
    <row r="55" spans="1:70" s="156" customFormat="1" x14ac:dyDescent="0.35">
      <c r="A55" s="190" t="s">
        <v>22</v>
      </c>
      <c r="B55" s="218">
        <f>'housing proportion projections'!I24</f>
        <v>96.877651238115135</v>
      </c>
      <c r="C55" s="186">
        <f>'housing proportion projections'!J24</f>
        <v>96.877651238115135</v>
      </c>
      <c r="D55" s="186">
        <f>'housing proportion projections'!K24</f>
        <v>96.877651238115135</v>
      </c>
      <c r="E55" s="186">
        <f>'housing proportion projections'!L24</f>
        <v>96.877651238115135</v>
      </c>
      <c r="F55" s="186">
        <f>'housing proportion projections'!M24</f>
        <v>96.877651238115135</v>
      </c>
      <c r="G55" s="218">
        <f>'housing proportion projections'!N24</f>
        <v>96.877651238115135</v>
      </c>
      <c r="H55" s="186">
        <f>'housing proportion projections'!O24</f>
        <v>96.877651238115135</v>
      </c>
      <c r="I55" s="186">
        <f>'housing proportion projections'!P24</f>
        <v>96.877651238115135</v>
      </c>
      <c r="J55" s="186">
        <f>'housing proportion projections'!Q24</f>
        <v>96.877651238115135</v>
      </c>
      <c r="K55" s="186">
        <f>'housing proportion projections'!R24</f>
        <v>96.877651238115135</v>
      </c>
      <c r="L55" s="186">
        <f>'housing proportion projections'!S24</f>
        <v>96.877651238115135</v>
      </c>
      <c r="M55" s="186">
        <f>'housing proportion projections'!T24</f>
        <v>96.877651238115135</v>
      </c>
      <c r="N55" s="186">
        <f>'housing proportion projections'!U24</f>
        <v>96.877651238115135</v>
      </c>
      <c r="O55" s="194">
        <f t="shared" si="68"/>
        <v>1259.4094660954968</v>
      </c>
      <c r="P55" s="161"/>
      <c r="Q55" s="168"/>
      <c r="R55" s="147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51"/>
      <c r="AE55" s="168"/>
      <c r="AF55" s="168"/>
      <c r="AG55" s="168"/>
      <c r="AH55" s="151"/>
      <c r="AI55" s="168"/>
      <c r="AJ55" s="168"/>
      <c r="AK55" s="168"/>
      <c r="AL55" s="168"/>
      <c r="AM55" s="168"/>
      <c r="AN55" s="168"/>
      <c r="AO55" s="168"/>
      <c r="AP55" s="168"/>
      <c r="AQ55" s="168"/>
      <c r="AR55" s="168"/>
      <c r="AS55" s="168"/>
      <c r="AT55" s="168"/>
      <c r="AU55" s="168"/>
      <c r="AV55" s="168"/>
      <c r="AW55" s="168"/>
      <c r="AX55" s="168"/>
      <c r="AY55" s="168"/>
      <c r="AZ55" s="168"/>
      <c r="BA55" s="168"/>
      <c r="BB55" s="168"/>
      <c r="BC55" s="168"/>
      <c r="BD55" s="168"/>
      <c r="BE55" s="168"/>
      <c r="BF55" s="168"/>
      <c r="BG55" s="168"/>
      <c r="BH55" s="168"/>
      <c r="BI55" s="168"/>
      <c r="BJ55" s="168"/>
      <c r="BK55" s="168"/>
      <c r="BL55" s="168"/>
      <c r="BM55" s="168"/>
      <c r="BN55" s="168"/>
      <c r="BO55" s="168"/>
      <c r="BP55" s="168"/>
      <c r="BQ55" s="168"/>
      <c r="BR55" s="168"/>
    </row>
    <row r="56" spans="1:70" s="155" customFormat="1" ht="15" thickBot="1" x14ac:dyDescent="0.4">
      <c r="A56" s="179"/>
      <c r="B56" s="217"/>
      <c r="C56" s="199"/>
      <c r="D56" s="199"/>
      <c r="E56" s="199"/>
      <c r="F56" s="199"/>
      <c r="G56" s="217"/>
      <c r="H56" s="199"/>
      <c r="I56" s="199"/>
      <c r="J56" s="199"/>
      <c r="K56" s="199"/>
      <c r="L56" s="199"/>
      <c r="M56" s="199"/>
      <c r="N56" s="199"/>
      <c r="O56" s="200"/>
      <c r="P56" s="162"/>
      <c r="Q56" s="168"/>
      <c r="R56" s="147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51"/>
      <c r="AE56" s="168"/>
      <c r="AF56" s="168"/>
      <c r="AG56" s="168"/>
      <c r="AH56" s="151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168"/>
      <c r="AT56" s="168"/>
      <c r="AU56" s="168"/>
      <c r="AV56" s="168"/>
      <c r="AW56" s="168"/>
      <c r="AX56" s="168"/>
      <c r="AY56" s="168"/>
      <c r="AZ56" s="168"/>
      <c r="BA56" s="168"/>
      <c r="BB56" s="168"/>
      <c r="BC56" s="168"/>
      <c r="BD56" s="168"/>
      <c r="BE56" s="168"/>
      <c r="BF56" s="168"/>
      <c r="BG56" s="168"/>
      <c r="BH56" s="168"/>
      <c r="BI56" s="168"/>
      <c r="BJ56" s="168"/>
      <c r="BK56" s="168"/>
      <c r="BL56" s="168"/>
      <c r="BM56" s="168"/>
      <c r="BN56" s="168"/>
      <c r="BO56" s="168"/>
      <c r="BP56" s="168"/>
      <c r="BQ56" s="168"/>
      <c r="BR56" s="168"/>
    </row>
    <row r="57" spans="1:70" s="155" customFormat="1" x14ac:dyDescent="0.35">
      <c r="A57" s="191" t="s">
        <v>134</v>
      </c>
      <c r="B57" s="213"/>
      <c r="C57" s="192"/>
      <c r="D57" s="192"/>
      <c r="E57" s="192"/>
      <c r="F57" s="192"/>
      <c r="G57" s="213"/>
      <c r="H57" s="192"/>
      <c r="I57" s="192"/>
      <c r="J57" s="192"/>
      <c r="K57" s="192"/>
      <c r="L57" s="192"/>
      <c r="M57" s="192"/>
      <c r="N57" s="192"/>
      <c r="O57" s="192"/>
      <c r="P57" s="163"/>
      <c r="Q57" s="168"/>
      <c r="R57" s="147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51"/>
      <c r="AE57" s="168"/>
      <c r="AF57" s="168"/>
      <c r="AG57" s="168"/>
      <c r="AH57" s="151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168"/>
      <c r="AT57" s="168"/>
      <c r="AU57" s="168"/>
      <c r="AV57" s="168"/>
      <c r="AW57" s="168"/>
      <c r="AX57" s="168"/>
      <c r="AY57" s="168"/>
      <c r="AZ57" s="168"/>
      <c r="BA57" s="168"/>
      <c r="BB57" s="168"/>
      <c r="BC57" s="168"/>
      <c r="BD57" s="168"/>
      <c r="BE57" s="168"/>
      <c r="BF57" s="168"/>
      <c r="BG57" s="168"/>
      <c r="BH57" s="168"/>
      <c r="BI57" s="168"/>
      <c r="BJ57" s="168"/>
      <c r="BK57" s="168"/>
      <c r="BL57" s="168"/>
      <c r="BM57" s="168"/>
      <c r="BN57" s="168"/>
      <c r="BO57" s="168"/>
      <c r="BP57" s="168"/>
      <c r="BQ57" s="168"/>
      <c r="BR57" s="168"/>
    </row>
    <row r="58" spans="1:70" s="155" customFormat="1" x14ac:dyDescent="0.35">
      <c r="A58" s="193" t="s">
        <v>112</v>
      </c>
      <c r="B58" s="214">
        <f>((B52*$AE$28)+(B53*$AE$29)+(B54*$AE$30)+(B55*$AE$31))*30</f>
        <v>6097940.4609029889</v>
      </c>
      <c r="C58" s="214">
        <f t="shared" ref="C58:F58" si="69">((C52*$AE$28)+(C53*$AE$29)+(C54*$AE$30)+(C55*$AE$31))*30</f>
        <v>6097940.4609029889</v>
      </c>
      <c r="D58" s="214">
        <f t="shared" si="69"/>
        <v>6097940.4609029889</v>
      </c>
      <c r="E58" s="214">
        <f t="shared" si="69"/>
        <v>6097940.4609029889</v>
      </c>
      <c r="F58" s="214">
        <f t="shared" si="69"/>
        <v>6097940.4609029889</v>
      </c>
      <c r="G58" s="214">
        <f>((G52*$AI$28)+(G53*$AI$29)+(G54*$AI$30)+(G55*$AI$31))*30</f>
        <v>6026389.2371942243</v>
      </c>
      <c r="H58" s="214">
        <f t="shared" ref="H58:N58" si="70">((H52*$AI$28)+(H53*$AI$29)+(H54*$AI$30)+(H55*$AI$31))*30</f>
        <v>6026389.2371942243</v>
      </c>
      <c r="I58" s="214">
        <f t="shared" si="70"/>
        <v>6026389.2371942243</v>
      </c>
      <c r="J58" s="214">
        <f t="shared" si="70"/>
        <v>6026389.2371942243</v>
      </c>
      <c r="K58" s="214">
        <f t="shared" si="70"/>
        <v>6026389.2371942243</v>
      </c>
      <c r="L58" s="214">
        <f t="shared" si="70"/>
        <v>6026389.2371942243</v>
      </c>
      <c r="M58" s="214">
        <f t="shared" si="70"/>
        <v>6026389.2371942243</v>
      </c>
      <c r="N58" s="214">
        <f t="shared" si="70"/>
        <v>6026389.2371942243</v>
      </c>
      <c r="O58" s="214">
        <f>SUM(B58:N58)</f>
        <v>78700816.202068746</v>
      </c>
      <c r="P58" s="162"/>
      <c r="Q58" s="168"/>
      <c r="R58" s="147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51"/>
      <c r="AE58" s="168"/>
      <c r="AF58" s="168"/>
      <c r="AG58" s="168"/>
      <c r="AH58" s="151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168"/>
      <c r="BI58" s="168"/>
      <c r="BJ58" s="168"/>
      <c r="BK58" s="168"/>
      <c r="BL58" s="168"/>
      <c r="BM58" s="168"/>
      <c r="BN58" s="168"/>
      <c r="BO58" s="168"/>
      <c r="BP58" s="168"/>
      <c r="BQ58" s="168"/>
      <c r="BR58" s="168"/>
    </row>
    <row r="59" spans="1:70" s="155" customFormat="1" x14ac:dyDescent="0.35">
      <c r="A59" s="193" t="s">
        <v>113</v>
      </c>
      <c r="B59" s="214">
        <f t="shared" ref="B59" si="71">B58/1000</f>
        <v>6097.9404609029889</v>
      </c>
      <c r="C59" s="214">
        <f t="shared" ref="C59" si="72">C58/1000</f>
        <v>6097.9404609029889</v>
      </c>
      <c r="D59" s="214">
        <f t="shared" ref="D59" si="73">D58/1000</f>
        <v>6097.9404609029889</v>
      </c>
      <c r="E59" s="214">
        <f t="shared" ref="E59" si="74">E58/1000</f>
        <v>6097.9404609029889</v>
      </c>
      <c r="F59" s="214">
        <f t="shared" ref="F59" si="75">F58/1000</f>
        <v>6097.9404609029889</v>
      </c>
      <c r="G59" s="214">
        <f t="shared" ref="G59" si="76">G58/1000</f>
        <v>6026.3892371942238</v>
      </c>
      <c r="H59" s="214">
        <f t="shared" ref="H59" si="77">H58/1000</f>
        <v>6026.3892371942238</v>
      </c>
      <c r="I59" s="214">
        <f t="shared" ref="I59" si="78">I58/1000</f>
        <v>6026.3892371942238</v>
      </c>
      <c r="J59" s="214">
        <f t="shared" ref="J59" si="79">J58/1000</f>
        <v>6026.3892371942238</v>
      </c>
      <c r="K59" s="214">
        <f t="shared" ref="K59" si="80">K58/1000</f>
        <v>6026.3892371942238</v>
      </c>
      <c r="L59" s="214">
        <f t="shared" ref="L59" si="81">L58/1000</f>
        <v>6026.3892371942238</v>
      </c>
      <c r="M59" s="214">
        <f t="shared" ref="M59" si="82">M58/1000</f>
        <v>6026.3892371942238</v>
      </c>
      <c r="N59" s="214">
        <f t="shared" ref="N59" si="83">N58/1000</f>
        <v>6026.3892371942238</v>
      </c>
      <c r="O59" s="214">
        <f t="shared" ref="O59" si="84">O58/1000</f>
        <v>78700.816202068745</v>
      </c>
      <c r="P59" s="162"/>
      <c r="Q59" s="168"/>
      <c r="R59" s="147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51"/>
      <c r="AE59" s="168"/>
      <c r="AF59" s="168"/>
      <c r="AG59" s="168"/>
      <c r="AH59" s="151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68"/>
      <c r="AT59" s="168"/>
      <c r="AU59" s="168"/>
      <c r="AV59" s="168"/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168"/>
      <c r="BI59" s="168"/>
      <c r="BJ59" s="168"/>
      <c r="BK59" s="168"/>
      <c r="BL59" s="168"/>
      <c r="BM59" s="168"/>
      <c r="BN59" s="168"/>
      <c r="BO59" s="168"/>
      <c r="BP59" s="168"/>
      <c r="BQ59" s="168"/>
      <c r="BR59" s="168"/>
    </row>
    <row r="60" spans="1:70" s="157" customFormat="1" ht="15" thickBot="1" x14ac:dyDescent="0.4">
      <c r="A60" s="193" t="s">
        <v>64</v>
      </c>
      <c r="B60" s="215">
        <f t="shared" ref="B60" si="85">B59*$AB$2</f>
        <v>1219588.0921805978</v>
      </c>
      <c r="C60" s="215">
        <f t="shared" ref="C60" si="86">C59*$AB$2</f>
        <v>1219588.0921805978</v>
      </c>
      <c r="D60" s="215">
        <f t="shared" ref="D60" si="87">D59*$AB$2</f>
        <v>1219588.0921805978</v>
      </c>
      <c r="E60" s="215">
        <f t="shared" ref="E60" si="88">E59*$AB$2</f>
        <v>1219588.0921805978</v>
      </c>
      <c r="F60" s="215">
        <f t="shared" ref="F60" si="89">F59*$AB$2</f>
        <v>1219588.0921805978</v>
      </c>
      <c r="G60" s="215">
        <f t="shared" ref="G60" si="90">G59*$AB$2</f>
        <v>1205277.8474388449</v>
      </c>
      <c r="H60" s="215">
        <f t="shared" ref="H60" si="91">H59*$AB$2</f>
        <v>1205277.8474388449</v>
      </c>
      <c r="I60" s="215">
        <f t="shared" ref="I60" si="92">I59*$AB$2</f>
        <v>1205277.8474388449</v>
      </c>
      <c r="J60" s="215">
        <f t="shared" ref="J60" si="93">J59*$AB$2</f>
        <v>1205277.8474388449</v>
      </c>
      <c r="K60" s="215">
        <f t="shared" ref="K60" si="94">K59*$AB$2</f>
        <v>1205277.8474388449</v>
      </c>
      <c r="L60" s="215">
        <f t="shared" ref="L60" si="95">L59*$AB$2</f>
        <v>1205277.8474388449</v>
      </c>
      <c r="M60" s="215">
        <f t="shared" ref="M60" si="96">M59*$AB$2</f>
        <v>1205277.8474388449</v>
      </c>
      <c r="N60" s="215">
        <f t="shared" ref="N60" si="97">N59*$AB$2</f>
        <v>1205277.8474388449</v>
      </c>
      <c r="O60" s="215">
        <f t="shared" ref="O60" si="98">O59*$AB$2</f>
        <v>15740163.24041375</v>
      </c>
      <c r="P60" s="164"/>
      <c r="Q60" s="168"/>
      <c r="R60" s="147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51"/>
      <c r="AE60" s="168"/>
      <c r="AF60" s="168"/>
      <c r="AG60" s="168"/>
      <c r="AH60" s="151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8"/>
      <c r="AZ60" s="168"/>
      <c r="BA60" s="168"/>
      <c r="BB60" s="168"/>
      <c r="BC60" s="168"/>
      <c r="BD60" s="168"/>
      <c r="BE60" s="168"/>
      <c r="BF60" s="168"/>
      <c r="BG60" s="168"/>
      <c r="BH60" s="168"/>
      <c r="BI60" s="168"/>
      <c r="BJ60" s="168"/>
      <c r="BK60" s="168"/>
      <c r="BL60" s="168"/>
      <c r="BM60" s="168"/>
      <c r="BN60" s="168"/>
      <c r="BO60" s="168"/>
      <c r="BP60" s="168"/>
      <c r="BQ60" s="168"/>
      <c r="BR60" s="168"/>
    </row>
    <row r="61" spans="1:70" s="152" customFormat="1" x14ac:dyDescent="0.35">
      <c r="A61" s="193"/>
      <c r="B61" s="214"/>
      <c r="C61" s="194"/>
      <c r="D61" s="194"/>
      <c r="E61" s="194"/>
      <c r="F61" s="194"/>
      <c r="G61" s="214"/>
      <c r="H61" s="194"/>
      <c r="I61" s="194"/>
      <c r="J61" s="194"/>
      <c r="K61" s="194"/>
      <c r="L61" s="194"/>
      <c r="M61" s="194"/>
      <c r="N61" s="194"/>
      <c r="O61" s="194"/>
      <c r="P61" s="159"/>
      <c r="Q61" s="168"/>
      <c r="R61" s="147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51"/>
      <c r="AE61" s="168"/>
      <c r="AF61" s="168"/>
      <c r="AG61" s="168"/>
      <c r="AH61" s="151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168"/>
      <c r="AT61" s="168"/>
      <c r="AU61" s="168"/>
      <c r="AV61" s="168"/>
      <c r="AW61" s="168"/>
      <c r="AX61" s="168"/>
      <c r="AY61" s="168"/>
      <c r="AZ61" s="168"/>
      <c r="BA61" s="168"/>
      <c r="BB61" s="168"/>
      <c r="BC61" s="168"/>
      <c r="BD61" s="168"/>
      <c r="BE61" s="168"/>
      <c r="BF61" s="168"/>
      <c r="BG61" s="168"/>
      <c r="BH61" s="168"/>
      <c r="BI61" s="168"/>
      <c r="BJ61" s="168"/>
      <c r="BK61" s="168"/>
      <c r="BL61" s="168"/>
      <c r="BM61" s="168"/>
      <c r="BN61" s="168"/>
      <c r="BO61" s="168"/>
      <c r="BP61" s="168"/>
      <c r="BQ61" s="168"/>
      <c r="BR61" s="168"/>
    </row>
    <row r="62" spans="1:70" s="152" customFormat="1" ht="15" thickBot="1" x14ac:dyDescent="0.4">
      <c r="A62" s="197"/>
      <c r="B62" s="216"/>
      <c r="C62" s="198"/>
      <c r="D62" s="198"/>
      <c r="E62" s="198"/>
      <c r="F62" s="198"/>
      <c r="G62" s="216"/>
      <c r="H62" s="198"/>
      <c r="I62" s="198"/>
      <c r="J62" s="198"/>
      <c r="K62" s="198"/>
      <c r="L62" s="198"/>
      <c r="M62" s="198"/>
      <c r="N62" s="198"/>
      <c r="O62" s="198"/>
      <c r="P62" s="159"/>
      <c r="Q62" s="168"/>
      <c r="R62" s="147"/>
      <c r="S62" s="168"/>
      <c r="T62" s="168"/>
      <c r="U62" s="168"/>
      <c r="V62" s="168"/>
      <c r="W62" s="168"/>
      <c r="X62" s="168"/>
      <c r="Y62" s="168"/>
      <c r="Z62" s="168"/>
      <c r="AA62" s="168"/>
      <c r="AB62" s="168"/>
      <c r="AC62" s="168"/>
      <c r="AD62" s="151"/>
      <c r="AE62" s="168"/>
      <c r="AF62" s="168"/>
      <c r="AG62" s="168"/>
      <c r="AH62" s="151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168"/>
      <c r="AT62" s="168"/>
      <c r="AU62" s="168"/>
      <c r="AV62" s="168"/>
      <c r="AW62" s="168"/>
      <c r="AX62" s="168"/>
      <c r="AY62" s="168"/>
      <c r="AZ62" s="168"/>
      <c r="BA62" s="168"/>
      <c r="BB62" s="168"/>
      <c r="BC62" s="168"/>
      <c r="BD62" s="168"/>
      <c r="BE62" s="168"/>
      <c r="BF62" s="168"/>
      <c r="BG62" s="168"/>
      <c r="BH62" s="168"/>
      <c r="BI62" s="168"/>
      <c r="BJ62" s="168"/>
      <c r="BK62" s="168"/>
      <c r="BL62" s="168"/>
      <c r="BM62" s="168"/>
      <c r="BN62" s="168"/>
      <c r="BO62" s="168"/>
      <c r="BP62" s="168"/>
      <c r="BQ62" s="168"/>
      <c r="BR62" s="168"/>
    </row>
    <row r="63" spans="1:70" s="152" customFormat="1" x14ac:dyDescent="0.35">
      <c r="A63" s="187"/>
      <c r="B63" s="212"/>
      <c r="C63" s="179"/>
      <c r="D63" s="179"/>
      <c r="E63" s="179"/>
      <c r="F63" s="179"/>
      <c r="G63" s="212"/>
      <c r="H63" s="179"/>
      <c r="I63" s="179"/>
      <c r="J63" s="179"/>
      <c r="K63" s="179"/>
      <c r="L63" s="179"/>
      <c r="M63" s="179"/>
      <c r="N63" s="179"/>
      <c r="O63" s="179"/>
      <c r="P63" s="159"/>
      <c r="Q63" s="168"/>
      <c r="R63" s="147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51"/>
      <c r="AE63" s="168"/>
      <c r="AF63" s="168"/>
      <c r="AG63" s="168"/>
      <c r="AH63" s="151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168"/>
      <c r="AT63" s="168"/>
      <c r="AU63" s="168"/>
      <c r="AV63" s="168"/>
      <c r="AW63" s="168"/>
      <c r="AX63" s="168"/>
      <c r="AY63" s="168"/>
      <c r="AZ63" s="168"/>
      <c r="BA63" s="168"/>
      <c r="BB63" s="168"/>
      <c r="BC63" s="168"/>
      <c r="BD63" s="168"/>
      <c r="BE63" s="168"/>
      <c r="BF63" s="168"/>
      <c r="BG63" s="168"/>
      <c r="BH63" s="168"/>
      <c r="BI63" s="168"/>
      <c r="BJ63" s="168"/>
      <c r="BK63" s="168"/>
      <c r="BL63" s="168"/>
      <c r="BM63" s="168"/>
      <c r="BN63" s="168"/>
      <c r="BO63" s="168"/>
      <c r="BP63" s="168"/>
      <c r="BQ63" s="168"/>
      <c r="BR63" s="168"/>
    </row>
    <row r="64" spans="1:70" s="152" customFormat="1" x14ac:dyDescent="0.35">
      <c r="A64" s="154"/>
      <c r="B64" s="212"/>
      <c r="C64" s="179"/>
      <c r="D64" s="179"/>
      <c r="E64" s="179"/>
      <c r="F64" s="179"/>
      <c r="G64" s="212"/>
      <c r="H64" s="179"/>
      <c r="I64" s="179"/>
      <c r="J64" s="179"/>
      <c r="K64" s="179"/>
      <c r="L64" s="179"/>
      <c r="M64" s="179"/>
      <c r="N64" s="179"/>
      <c r="O64" s="179"/>
      <c r="P64" s="160"/>
      <c r="Q64" s="168"/>
      <c r="R64" s="147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51"/>
      <c r="AE64" s="168"/>
      <c r="AF64" s="168"/>
      <c r="AG64" s="168"/>
      <c r="AH64" s="151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68"/>
      <c r="AT64" s="168"/>
      <c r="AU64" s="168"/>
      <c r="AV64" s="168"/>
      <c r="AW64" s="168"/>
      <c r="AX64" s="168"/>
      <c r="AY64" s="168"/>
      <c r="AZ64" s="168"/>
      <c r="BA64" s="168"/>
      <c r="BB64" s="168"/>
      <c r="BC64" s="168"/>
      <c r="BD64" s="168"/>
      <c r="BE64" s="168"/>
      <c r="BF64" s="168"/>
      <c r="BG64" s="168"/>
      <c r="BH64" s="168"/>
      <c r="BI64" s="168"/>
      <c r="BJ64" s="168"/>
      <c r="BK64" s="168"/>
      <c r="BL64" s="168"/>
      <c r="BM64" s="168"/>
      <c r="BN64" s="168"/>
      <c r="BO64" s="168"/>
      <c r="BP64" s="168"/>
      <c r="BQ64" s="168"/>
      <c r="BR64" s="168"/>
    </row>
    <row r="65" spans="1:70" s="152" customFormat="1" x14ac:dyDescent="0.35">
      <c r="A65" s="180" t="s">
        <v>0</v>
      </c>
      <c r="B65" s="209" t="s">
        <v>7</v>
      </c>
      <c r="C65" s="182" t="s">
        <v>8</v>
      </c>
      <c r="D65" s="182" t="s">
        <v>9</v>
      </c>
      <c r="E65" s="182" t="s">
        <v>10</v>
      </c>
      <c r="F65" s="182" t="s">
        <v>11</v>
      </c>
      <c r="G65" s="209" t="s">
        <v>12</v>
      </c>
      <c r="H65" s="182" t="s">
        <v>13</v>
      </c>
      <c r="I65" s="182" t="s">
        <v>14</v>
      </c>
      <c r="J65" s="182" t="s">
        <v>15</v>
      </c>
      <c r="K65" s="182" t="s">
        <v>16</v>
      </c>
      <c r="L65" s="183" t="s">
        <v>17</v>
      </c>
      <c r="M65" s="184" t="s">
        <v>23</v>
      </c>
      <c r="N65" s="184" t="s">
        <v>24</v>
      </c>
      <c r="O65" s="185" t="s">
        <v>18</v>
      </c>
      <c r="P65" s="159"/>
      <c r="Q65" s="168"/>
      <c r="R65" s="147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51"/>
      <c r="AE65" s="168"/>
      <c r="AF65" s="168"/>
      <c r="AG65" s="168"/>
      <c r="AH65" s="151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168"/>
      <c r="AT65" s="168"/>
      <c r="AU65" s="168"/>
      <c r="AV65" s="168"/>
      <c r="AW65" s="168"/>
      <c r="AX65" s="168"/>
      <c r="AY65" s="168"/>
      <c r="AZ65" s="168"/>
      <c r="BA65" s="168"/>
      <c r="BB65" s="168"/>
      <c r="BC65" s="168"/>
      <c r="BD65" s="168"/>
      <c r="BE65" s="168"/>
      <c r="BF65" s="168"/>
      <c r="BG65" s="168"/>
      <c r="BH65" s="168"/>
      <c r="BI65" s="168"/>
      <c r="BJ65" s="168"/>
      <c r="BK65" s="168"/>
      <c r="BL65" s="168"/>
      <c r="BM65" s="168"/>
      <c r="BN65" s="168"/>
      <c r="BO65" s="168"/>
      <c r="BP65" s="168"/>
      <c r="BQ65" s="168"/>
      <c r="BR65" s="168"/>
    </row>
    <row r="66" spans="1:70" s="152" customFormat="1" x14ac:dyDescent="0.35">
      <c r="A66" s="154" t="s">
        <v>30</v>
      </c>
      <c r="B66" s="217">
        <v>640</v>
      </c>
      <c r="C66" s="186">
        <v>640</v>
      </c>
      <c r="D66" s="186">
        <v>640</v>
      </c>
      <c r="E66" s="186">
        <v>640</v>
      </c>
      <c r="F66" s="186">
        <v>640</v>
      </c>
      <c r="G66" s="217">
        <v>640</v>
      </c>
      <c r="H66" s="186">
        <v>640</v>
      </c>
      <c r="I66" s="186">
        <v>640</v>
      </c>
      <c r="J66" s="186">
        <v>640</v>
      </c>
      <c r="K66" s="186">
        <v>640</v>
      </c>
      <c r="L66" s="186">
        <v>640</v>
      </c>
      <c r="M66" s="186">
        <v>640</v>
      </c>
      <c r="N66" s="186">
        <v>640</v>
      </c>
      <c r="O66" s="194">
        <f>SUM(B66:N66)</f>
        <v>8320</v>
      </c>
      <c r="P66" s="159"/>
      <c r="Q66" s="168"/>
      <c r="R66" s="147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51"/>
      <c r="AE66" s="168"/>
      <c r="AF66" s="168"/>
      <c r="AG66" s="168"/>
      <c r="AH66" s="151"/>
      <c r="AI66" s="168"/>
      <c r="AJ66" s="168"/>
      <c r="AK66" s="168"/>
      <c r="AL66" s="168"/>
      <c r="AM66" s="168"/>
      <c r="AN66" s="168"/>
      <c r="AO66" s="168"/>
      <c r="AP66" s="168"/>
      <c r="AQ66" s="168"/>
      <c r="AR66" s="168"/>
      <c r="AS66" s="168"/>
      <c r="AT66" s="168"/>
      <c r="AU66" s="168"/>
      <c r="AV66" s="168"/>
      <c r="AW66" s="168"/>
      <c r="AX66" s="168"/>
      <c r="AY66" s="168"/>
      <c r="AZ66" s="168"/>
      <c r="BA66" s="168"/>
      <c r="BB66" s="168"/>
      <c r="BC66" s="168"/>
      <c r="BD66" s="168"/>
      <c r="BE66" s="168"/>
      <c r="BF66" s="168"/>
      <c r="BG66" s="168"/>
      <c r="BH66" s="168"/>
      <c r="BI66" s="168"/>
      <c r="BJ66" s="168"/>
      <c r="BK66" s="168"/>
      <c r="BL66" s="168"/>
      <c r="BM66" s="168"/>
      <c r="BN66" s="168"/>
      <c r="BO66" s="168"/>
      <c r="BP66" s="168"/>
      <c r="BQ66" s="168"/>
      <c r="BR66" s="168"/>
    </row>
    <row r="67" spans="1:70" s="152" customFormat="1" x14ac:dyDescent="0.35">
      <c r="A67" s="187" t="s">
        <v>20</v>
      </c>
      <c r="B67" s="218">
        <f>'housing proportion projections'!I26</f>
        <v>123.40225964613089</v>
      </c>
      <c r="C67" s="186">
        <f>'housing proportion projections'!J26</f>
        <v>123.40225964613089</v>
      </c>
      <c r="D67" s="186">
        <f>'housing proportion projections'!K26</f>
        <v>123.40225964613089</v>
      </c>
      <c r="E67" s="186">
        <f>'housing proportion projections'!L26</f>
        <v>123.40225964613089</v>
      </c>
      <c r="F67" s="186">
        <f>'housing proportion projections'!M26</f>
        <v>123.40225964613089</v>
      </c>
      <c r="G67" s="218">
        <f>'housing proportion projections'!N26</f>
        <v>123.40225964613089</v>
      </c>
      <c r="H67" s="186">
        <f>'housing proportion projections'!O26</f>
        <v>123.40225964613089</v>
      </c>
      <c r="I67" s="186">
        <f>'housing proportion projections'!P26</f>
        <v>123.40225964613089</v>
      </c>
      <c r="J67" s="186">
        <f>'housing proportion projections'!Q26</f>
        <v>123.40225964613089</v>
      </c>
      <c r="K67" s="186">
        <f>'housing proportion projections'!R26</f>
        <v>123.40225964613089</v>
      </c>
      <c r="L67" s="186">
        <f>'housing proportion projections'!S26</f>
        <v>123.40225964613089</v>
      </c>
      <c r="M67" s="186">
        <f>'housing proportion projections'!T26</f>
        <v>123.40225964613089</v>
      </c>
      <c r="N67" s="186">
        <f>'housing proportion projections'!U26</f>
        <v>123.40225964613089</v>
      </c>
      <c r="O67" s="194">
        <f t="shared" ref="O67:O70" si="99">SUM(B67:N67)</f>
        <v>1604.2293753997017</v>
      </c>
      <c r="P67" s="159"/>
      <c r="Q67" s="168"/>
      <c r="R67" s="147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  <c r="AD67" s="151"/>
      <c r="AE67" s="168"/>
      <c r="AF67" s="168"/>
      <c r="AG67" s="168"/>
      <c r="AH67" s="151"/>
      <c r="AI67" s="168"/>
      <c r="AJ67" s="168"/>
      <c r="AK67" s="168"/>
      <c r="AL67" s="168"/>
      <c r="AM67" s="168"/>
      <c r="AN67" s="168"/>
      <c r="AO67" s="168"/>
      <c r="AP67" s="168"/>
      <c r="AQ67" s="168"/>
      <c r="AR67" s="168"/>
      <c r="AS67" s="168"/>
      <c r="AT67" s="168"/>
      <c r="AU67" s="168"/>
      <c r="AV67" s="168"/>
      <c r="AW67" s="168"/>
      <c r="AX67" s="168"/>
      <c r="AY67" s="168"/>
      <c r="AZ67" s="168"/>
      <c r="BA67" s="168"/>
      <c r="BB67" s="168"/>
      <c r="BC67" s="168"/>
      <c r="BD67" s="168"/>
      <c r="BE67" s="168"/>
      <c r="BF67" s="168"/>
      <c r="BG67" s="168"/>
      <c r="BH67" s="168"/>
      <c r="BI67" s="168"/>
      <c r="BJ67" s="168"/>
      <c r="BK67" s="168"/>
      <c r="BL67" s="168"/>
      <c r="BM67" s="168"/>
      <c r="BN67" s="168"/>
      <c r="BO67" s="168"/>
      <c r="BP67" s="168"/>
      <c r="BQ67" s="168"/>
      <c r="BR67" s="168"/>
    </row>
    <row r="68" spans="1:70" s="158" customFormat="1" x14ac:dyDescent="0.35">
      <c r="A68" s="187" t="s">
        <v>21</v>
      </c>
      <c r="B68" s="218">
        <f>'housing proportion projections'!I27</f>
        <v>174.29119590705608</v>
      </c>
      <c r="C68" s="186">
        <f>'housing proportion projections'!J27</f>
        <v>174.29119590705608</v>
      </c>
      <c r="D68" s="186">
        <f>'housing proportion projections'!K27</f>
        <v>174.29119590705608</v>
      </c>
      <c r="E68" s="186">
        <f>'housing proportion projections'!L27</f>
        <v>174.29119590705608</v>
      </c>
      <c r="F68" s="186">
        <f>'housing proportion projections'!M27</f>
        <v>174.29119590705608</v>
      </c>
      <c r="G68" s="218">
        <f>'housing proportion projections'!N27</f>
        <v>174.29119590705608</v>
      </c>
      <c r="H68" s="186">
        <f>'housing proportion projections'!O27</f>
        <v>174.29119590705608</v>
      </c>
      <c r="I68" s="186">
        <f>'housing proportion projections'!P27</f>
        <v>174.29119590705608</v>
      </c>
      <c r="J68" s="186">
        <f>'housing proportion projections'!Q27</f>
        <v>174.29119590705608</v>
      </c>
      <c r="K68" s="186">
        <f>'housing proportion projections'!R27</f>
        <v>174.29119590705608</v>
      </c>
      <c r="L68" s="186">
        <f>'housing proportion projections'!S27</f>
        <v>174.29119590705608</v>
      </c>
      <c r="M68" s="186">
        <f>'housing proportion projections'!T27</f>
        <v>174.29119590705608</v>
      </c>
      <c r="N68" s="186">
        <f>'housing proportion projections'!U27</f>
        <v>174.29119590705608</v>
      </c>
      <c r="O68" s="194">
        <f t="shared" si="99"/>
        <v>2265.7855467917293</v>
      </c>
      <c r="P68" s="167"/>
      <c r="Q68" s="168"/>
      <c r="R68" s="147"/>
      <c r="S68" s="168"/>
      <c r="T68" s="168"/>
      <c r="U68" s="168"/>
      <c r="V68" s="168"/>
      <c r="W68" s="168"/>
      <c r="X68" s="168"/>
      <c r="Y68" s="168"/>
      <c r="Z68" s="168"/>
      <c r="AA68" s="168"/>
      <c r="AB68" s="168"/>
      <c r="AC68" s="168"/>
      <c r="AD68" s="151"/>
      <c r="AE68" s="168"/>
      <c r="AF68" s="168"/>
      <c r="AG68" s="168"/>
      <c r="AH68" s="151"/>
      <c r="AI68" s="168"/>
      <c r="AJ68" s="168"/>
      <c r="AK68" s="168"/>
      <c r="AL68" s="168"/>
      <c r="AM68" s="168"/>
      <c r="AN68" s="168"/>
      <c r="AO68" s="168"/>
      <c r="AP68" s="168"/>
      <c r="AQ68" s="168"/>
      <c r="AR68" s="168"/>
      <c r="AS68" s="168"/>
      <c r="AT68" s="168"/>
      <c r="AU68" s="168"/>
      <c r="AV68" s="168"/>
      <c r="AW68" s="168"/>
      <c r="AX68" s="168"/>
      <c r="AY68" s="168"/>
      <c r="AZ68" s="168"/>
      <c r="BA68" s="168"/>
      <c r="BB68" s="168"/>
      <c r="BC68" s="168"/>
      <c r="BD68" s="168"/>
      <c r="BE68" s="168"/>
      <c r="BF68" s="168"/>
      <c r="BG68" s="168"/>
      <c r="BH68" s="168"/>
      <c r="BI68" s="168"/>
      <c r="BJ68" s="168"/>
      <c r="BK68" s="168"/>
      <c r="BL68" s="168"/>
      <c r="BM68" s="168"/>
      <c r="BN68" s="168"/>
      <c r="BO68" s="168"/>
      <c r="BP68" s="168"/>
      <c r="BQ68" s="168"/>
      <c r="BR68" s="168"/>
    </row>
    <row r="69" spans="1:70" s="152" customFormat="1" ht="15" thickBot="1" x14ac:dyDescent="0.4">
      <c r="A69" s="187" t="s">
        <v>26</v>
      </c>
      <c r="B69" s="218">
        <f>'housing proportion projections'!I28</f>
        <v>251.44318908548286</v>
      </c>
      <c r="C69" s="186">
        <f>'housing proportion projections'!J28</f>
        <v>251.44318908548286</v>
      </c>
      <c r="D69" s="186">
        <f>'housing proportion projections'!K28</f>
        <v>251.44318908548286</v>
      </c>
      <c r="E69" s="186">
        <f>'housing proportion projections'!L28</f>
        <v>251.44318908548286</v>
      </c>
      <c r="F69" s="186">
        <f>'housing proportion projections'!M28</f>
        <v>251.44318908548286</v>
      </c>
      <c r="G69" s="218">
        <f>'housing proportion projections'!N28</f>
        <v>251.44318908548286</v>
      </c>
      <c r="H69" s="186">
        <f>'housing proportion projections'!O28</f>
        <v>251.44318908548286</v>
      </c>
      <c r="I69" s="186">
        <f>'housing proportion projections'!P28</f>
        <v>251.44318908548286</v>
      </c>
      <c r="J69" s="186">
        <f>'housing proportion projections'!Q28</f>
        <v>251.44318908548286</v>
      </c>
      <c r="K69" s="186">
        <f>'housing proportion projections'!R28</f>
        <v>251.44318908548286</v>
      </c>
      <c r="L69" s="186">
        <f>'housing proportion projections'!S28</f>
        <v>251.44318908548286</v>
      </c>
      <c r="M69" s="186">
        <f>'housing proportion projections'!T28</f>
        <v>251.44318908548286</v>
      </c>
      <c r="N69" s="186">
        <f>'housing proportion projections'!U28</f>
        <v>251.44318908548286</v>
      </c>
      <c r="O69" s="194">
        <f t="shared" si="99"/>
        <v>3268.7614581112775</v>
      </c>
      <c r="P69" s="159"/>
      <c r="Q69" s="168"/>
      <c r="R69" s="147"/>
      <c r="S69" s="168"/>
      <c r="T69" s="168"/>
      <c r="U69" s="168"/>
      <c r="V69" s="168"/>
      <c r="W69" s="168"/>
      <c r="X69" s="168"/>
      <c r="Y69" s="168"/>
      <c r="Z69" s="168"/>
      <c r="AA69" s="168"/>
      <c r="AB69" s="168"/>
      <c r="AC69" s="168"/>
      <c r="AD69" s="151"/>
      <c r="AE69" s="168"/>
      <c r="AF69" s="168"/>
      <c r="AG69" s="168"/>
      <c r="AH69" s="151"/>
      <c r="AI69" s="168"/>
      <c r="AJ69" s="168"/>
      <c r="AK69" s="168"/>
      <c r="AL69" s="168"/>
      <c r="AM69" s="168"/>
      <c r="AN69" s="168"/>
      <c r="AO69" s="168"/>
      <c r="AP69" s="168"/>
      <c r="AQ69" s="168"/>
      <c r="AR69" s="168"/>
      <c r="AS69" s="168"/>
      <c r="AT69" s="168"/>
      <c r="AU69" s="168"/>
      <c r="AV69" s="168"/>
      <c r="AW69" s="168"/>
      <c r="AX69" s="168"/>
      <c r="AY69" s="168"/>
      <c r="AZ69" s="168"/>
      <c r="BA69" s="168"/>
      <c r="BB69" s="168"/>
      <c r="BC69" s="168"/>
      <c r="BD69" s="168"/>
      <c r="BE69" s="168"/>
      <c r="BF69" s="168"/>
      <c r="BG69" s="168"/>
      <c r="BH69" s="168"/>
      <c r="BI69" s="168"/>
      <c r="BJ69" s="168"/>
      <c r="BK69" s="168"/>
      <c r="BL69" s="168"/>
      <c r="BM69" s="168"/>
      <c r="BN69" s="168"/>
      <c r="BO69" s="168"/>
      <c r="BP69" s="168"/>
      <c r="BQ69" s="168"/>
      <c r="BR69" s="168"/>
    </row>
    <row r="70" spans="1:70" s="156" customFormat="1" x14ac:dyDescent="0.35">
      <c r="A70" s="190" t="s">
        <v>22</v>
      </c>
      <c r="B70" s="218">
        <f>'housing proportion projections'!I29</f>
        <v>90.931571093583457</v>
      </c>
      <c r="C70" s="186">
        <f>'housing proportion projections'!J29</f>
        <v>90.931571093583457</v>
      </c>
      <c r="D70" s="186">
        <f>'housing proportion projections'!K29</f>
        <v>90.931571093583457</v>
      </c>
      <c r="E70" s="186">
        <f>'housing proportion projections'!L29</f>
        <v>90.931571093583457</v>
      </c>
      <c r="F70" s="186">
        <f>'housing proportion projections'!M29</f>
        <v>90.931571093583457</v>
      </c>
      <c r="G70" s="218">
        <f>'housing proportion projections'!N29</f>
        <v>90.931571093583457</v>
      </c>
      <c r="H70" s="186">
        <f>'housing proportion projections'!O29</f>
        <v>90.931571093583457</v>
      </c>
      <c r="I70" s="186">
        <f>'housing proportion projections'!P29</f>
        <v>90.931571093583457</v>
      </c>
      <c r="J70" s="186">
        <f>'housing proportion projections'!Q29</f>
        <v>90.931571093583457</v>
      </c>
      <c r="K70" s="186">
        <f>'housing proportion projections'!R29</f>
        <v>90.931571093583457</v>
      </c>
      <c r="L70" s="186">
        <f>'housing proportion projections'!S29</f>
        <v>90.931571093583457</v>
      </c>
      <c r="M70" s="186">
        <f>'housing proportion projections'!T29</f>
        <v>90.931571093583457</v>
      </c>
      <c r="N70" s="186">
        <f>'housing proportion projections'!U29</f>
        <v>90.931571093583457</v>
      </c>
      <c r="O70" s="194">
        <f t="shared" si="99"/>
        <v>1182.110424216585</v>
      </c>
      <c r="P70" s="161"/>
      <c r="Q70" s="168"/>
      <c r="R70" s="147"/>
      <c r="S70" s="168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  <c r="AD70" s="151"/>
      <c r="AE70" s="168"/>
      <c r="AF70" s="168"/>
      <c r="AG70" s="168"/>
      <c r="AH70" s="151"/>
      <c r="AI70" s="168"/>
      <c r="AJ70" s="168"/>
      <c r="AK70" s="168"/>
      <c r="AL70" s="168"/>
      <c r="AM70" s="168"/>
      <c r="AN70" s="168"/>
      <c r="AO70" s="168"/>
      <c r="AP70" s="168"/>
      <c r="AQ70" s="168"/>
      <c r="AR70" s="168"/>
      <c r="AS70" s="168"/>
      <c r="AT70" s="168"/>
      <c r="AU70" s="168"/>
      <c r="AV70" s="168"/>
      <c r="AW70" s="168"/>
      <c r="AX70" s="168"/>
      <c r="AY70" s="168"/>
      <c r="AZ70" s="168"/>
      <c r="BA70" s="168"/>
      <c r="BB70" s="168"/>
      <c r="BC70" s="168"/>
      <c r="BD70" s="168"/>
      <c r="BE70" s="168"/>
      <c r="BF70" s="168"/>
      <c r="BG70" s="168"/>
      <c r="BH70" s="168"/>
      <c r="BI70" s="168"/>
      <c r="BJ70" s="168"/>
      <c r="BK70" s="168"/>
      <c r="BL70" s="168"/>
      <c r="BM70" s="168"/>
      <c r="BN70" s="168"/>
      <c r="BO70" s="168"/>
      <c r="BP70" s="168"/>
      <c r="BQ70" s="168"/>
      <c r="BR70" s="168"/>
    </row>
    <row r="71" spans="1:70" s="155" customFormat="1" ht="15" thickBot="1" x14ac:dyDescent="0.4">
      <c r="A71" s="179"/>
      <c r="B71" s="212"/>
      <c r="C71" s="179"/>
      <c r="D71" s="179"/>
      <c r="E71" s="179"/>
      <c r="F71" s="179"/>
      <c r="G71" s="212"/>
      <c r="H71" s="179"/>
      <c r="I71" s="179"/>
      <c r="J71" s="179"/>
      <c r="K71" s="179"/>
      <c r="L71" s="179"/>
      <c r="M71" s="179"/>
      <c r="N71" s="179"/>
      <c r="O71" s="179"/>
      <c r="P71" s="162"/>
      <c r="Q71" s="168"/>
      <c r="R71" s="147"/>
      <c r="S71" s="168"/>
      <c r="T71" s="168"/>
      <c r="U71" s="168"/>
      <c r="V71" s="168"/>
      <c r="W71" s="168"/>
      <c r="X71" s="168"/>
      <c r="Y71" s="168"/>
      <c r="Z71" s="168"/>
      <c r="AA71" s="168"/>
      <c r="AB71" s="168"/>
      <c r="AC71" s="168"/>
      <c r="AD71" s="151"/>
      <c r="AE71" s="168"/>
      <c r="AF71" s="168"/>
      <c r="AG71" s="168"/>
      <c r="AH71" s="151"/>
      <c r="AI71" s="168"/>
      <c r="AJ71" s="168"/>
      <c r="AK71" s="168"/>
      <c r="AL71" s="168"/>
      <c r="AM71" s="168"/>
      <c r="AN71" s="168"/>
      <c r="AO71" s="168"/>
      <c r="AP71" s="168"/>
      <c r="AQ71" s="168"/>
      <c r="AR71" s="168"/>
      <c r="AS71" s="168"/>
      <c r="AT71" s="168"/>
      <c r="AU71" s="168"/>
      <c r="AV71" s="168"/>
      <c r="AW71" s="168"/>
      <c r="AX71" s="168"/>
      <c r="AY71" s="168"/>
      <c r="AZ71" s="168"/>
      <c r="BA71" s="168"/>
      <c r="BB71" s="168"/>
      <c r="BC71" s="168"/>
      <c r="BD71" s="168"/>
      <c r="BE71" s="168"/>
      <c r="BF71" s="168"/>
      <c r="BG71" s="168"/>
      <c r="BH71" s="168"/>
      <c r="BI71" s="168"/>
      <c r="BJ71" s="168"/>
      <c r="BK71" s="168"/>
      <c r="BL71" s="168"/>
      <c r="BM71" s="168"/>
      <c r="BN71" s="168"/>
      <c r="BO71" s="168"/>
      <c r="BP71" s="168"/>
      <c r="BQ71" s="168"/>
      <c r="BR71" s="168"/>
    </row>
    <row r="72" spans="1:70" s="155" customFormat="1" x14ac:dyDescent="0.35">
      <c r="A72" s="191" t="s">
        <v>134</v>
      </c>
      <c r="B72" s="213"/>
      <c r="C72" s="192"/>
      <c r="D72" s="192"/>
      <c r="E72" s="192"/>
      <c r="F72" s="192"/>
      <c r="G72" s="213"/>
      <c r="H72" s="192"/>
      <c r="I72" s="192"/>
      <c r="J72" s="192"/>
      <c r="K72" s="192"/>
      <c r="L72" s="192"/>
      <c r="M72" s="192"/>
      <c r="N72" s="192"/>
      <c r="O72" s="192"/>
      <c r="P72" s="163"/>
      <c r="Q72" s="168"/>
      <c r="R72" s="147"/>
      <c r="S72" s="168"/>
      <c r="T72" s="168"/>
      <c r="U72" s="168"/>
      <c r="V72" s="168"/>
      <c r="W72" s="168"/>
      <c r="X72" s="168"/>
      <c r="Y72" s="168"/>
      <c r="Z72" s="168"/>
      <c r="AA72" s="168"/>
      <c r="AB72" s="168"/>
      <c r="AC72" s="168"/>
      <c r="AD72" s="151"/>
      <c r="AE72" s="168"/>
      <c r="AF72" s="168"/>
      <c r="AG72" s="168"/>
      <c r="AH72" s="151"/>
      <c r="AI72" s="168"/>
      <c r="AJ72" s="168"/>
      <c r="AK72" s="168"/>
      <c r="AL72" s="168"/>
      <c r="AM72" s="168"/>
      <c r="AN72" s="168"/>
      <c r="AO72" s="168"/>
      <c r="AP72" s="168"/>
      <c r="AQ72" s="168"/>
      <c r="AR72" s="168"/>
      <c r="AS72" s="168"/>
      <c r="AT72" s="168"/>
      <c r="AU72" s="168"/>
      <c r="AV72" s="168"/>
      <c r="AW72" s="168"/>
      <c r="AX72" s="168"/>
      <c r="AY72" s="168"/>
      <c r="AZ72" s="168"/>
      <c r="BA72" s="168"/>
      <c r="BB72" s="168"/>
      <c r="BC72" s="168"/>
      <c r="BD72" s="168"/>
      <c r="BE72" s="168"/>
      <c r="BF72" s="168"/>
      <c r="BG72" s="168"/>
      <c r="BH72" s="168"/>
      <c r="BI72" s="168"/>
      <c r="BJ72" s="168"/>
      <c r="BK72" s="168"/>
      <c r="BL72" s="168"/>
      <c r="BM72" s="168"/>
      <c r="BN72" s="168"/>
      <c r="BO72" s="168"/>
      <c r="BP72" s="168"/>
      <c r="BQ72" s="168"/>
      <c r="BR72" s="168"/>
    </row>
    <row r="73" spans="1:70" s="155" customFormat="1" x14ac:dyDescent="0.35">
      <c r="A73" s="193" t="s">
        <v>112</v>
      </c>
      <c r="B73" s="214">
        <f>((B67*$AE$28)+(B68*$AE$29)+(B69*$AE$30)+(B70*$AE$31))*30</f>
        <v>5158381.5644634562</v>
      </c>
      <c r="C73" s="214">
        <f t="shared" ref="C73:F73" si="100">((C67*$AE$28)+(C68*$AE$29)+(C69*$AE$30)+(C70*$AE$31))*30</f>
        <v>5158381.5644634562</v>
      </c>
      <c r="D73" s="214">
        <f t="shared" si="100"/>
        <v>5158381.5644634562</v>
      </c>
      <c r="E73" s="214">
        <f t="shared" si="100"/>
        <v>5158381.5644634562</v>
      </c>
      <c r="F73" s="214">
        <f t="shared" si="100"/>
        <v>5158381.5644634562</v>
      </c>
      <c r="G73" s="214">
        <f>((G67*$AI$28)+(G68*$AI$29)+(G69*$AI$30)+(G70*$AI$31))*30</f>
        <v>5097734.4101706585</v>
      </c>
      <c r="H73" s="214">
        <f>((H67*$AI$28)+(H68*$AI$29)+(H69*$AI$30)+(H70*$AI$31))*30</f>
        <v>5097734.4101706585</v>
      </c>
      <c r="I73" s="214">
        <f t="shared" ref="I73:N73" si="101">((I67*$AI$28)+(I68*$AI$29)+(I69*$AI$30)+(I70*$AI$31))*30</f>
        <v>5097734.4101706585</v>
      </c>
      <c r="J73" s="214">
        <f t="shared" si="101"/>
        <v>5097734.4101706585</v>
      </c>
      <c r="K73" s="214">
        <f t="shared" si="101"/>
        <v>5097734.4101706585</v>
      </c>
      <c r="L73" s="214">
        <f t="shared" si="101"/>
        <v>5097734.4101706585</v>
      </c>
      <c r="M73" s="214">
        <f t="shared" si="101"/>
        <v>5097734.4101706585</v>
      </c>
      <c r="N73" s="214">
        <f t="shared" si="101"/>
        <v>5097734.4101706585</v>
      </c>
      <c r="O73" s="214">
        <f>SUM(B73:N73)</f>
        <v>66573783.103682555</v>
      </c>
      <c r="P73" s="162"/>
      <c r="Q73" s="168"/>
      <c r="R73" s="147"/>
      <c r="S73" s="168"/>
      <c r="T73" s="168"/>
      <c r="U73" s="168"/>
      <c r="V73" s="168"/>
      <c r="W73" s="168"/>
      <c r="X73" s="168"/>
      <c r="Y73" s="168"/>
      <c r="Z73" s="168"/>
      <c r="AA73" s="168"/>
      <c r="AB73" s="168"/>
      <c r="AC73" s="168"/>
      <c r="AD73" s="151"/>
      <c r="AE73" s="168"/>
      <c r="AF73" s="168"/>
      <c r="AG73" s="168"/>
      <c r="AH73" s="151"/>
      <c r="AI73" s="168"/>
      <c r="AJ73" s="168"/>
      <c r="AK73" s="168"/>
      <c r="AL73" s="168"/>
      <c r="AM73" s="168"/>
      <c r="AN73" s="168"/>
      <c r="AO73" s="168"/>
      <c r="AP73" s="168"/>
      <c r="AQ73" s="168"/>
      <c r="AR73" s="168"/>
      <c r="AS73" s="168"/>
      <c r="AT73" s="168"/>
      <c r="AU73" s="168"/>
      <c r="AV73" s="168"/>
      <c r="AW73" s="168"/>
      <c r="AX73" s="168"/>
      <c r="AY73" s="168"/>
      <c r="AZ73" s="168"/>
      <c r="BA73" s="168"/>
      <c r="BB73" s="168"/>
      <c r="BC73" s="168"/>
      <c r="BD73" s="168"/>
      <c r="BE73" s="168"/>
      <c r="BF73" s="168"/>
      <c r="BG73" s="168"/>
      <c r="BH73" s="168"/>
      <c r="BI73" s="168"/>
      <c r="BJ73" s="168"/>
      <c r="BK73" s="168"/>
      <c r="BL73" s="168"/>
      <c r="BM73" s="168"/>
      <c r="BN73" s="168"/>
      <c r="BO73" s="168"/>
      <c r="BP73" s="168"/>
      <c r="BQ73" s="168"/>
      <c r="BR73" s="168"/>
    </row>
    <row r="74" spans="1:70" s="155" customFormat="1" x14ac:dyDescent="0.35">
      <c r="A74" s="193" t="s">
        <v>113</v>
      </c>
      <c r="B74" s="214">
        <f t="shared" ref="B74" si="102">B73/1000</f>
        <v>5158.381564463456</v>
      </c>
      <c r="C74" s="214">
        <f t="shared" ref="C74" si="103">C73/1000</f>
        <v>5158.381564463456</v>
      </c>
      <c r="D74" s="214">
        <f t="shared" ref="D74" si="104">D73/1000</f>
        <v>5158.381564463456</v>
      </c>
      <c r="E74" s="214">
        <f t="shared" ref="E74" si="105">E73/1000</f>
        <v>5158.381564463456</v>
      </c>
      <c r="F74" s="214">
        <f t="shared" ref="F74" si="106">F73/1000</f>
        <v>5158.381564463456</v>
      </c>
      <c r="G74" s="214">
        <f t="shared" ref="G74" si="107">G73/1000</f>
        <v>5097.7344101706585</v>
      </c>
      <c r="H74" s="214">
        <f t="shared" ref="H74" si="108">H73/1000</f>
        <v>5097.7344101706585</v>
      </c>
      <c r="I74" s="214">
        <f t="shared" ref="I74" si="109">I73/1000</f>
        <v>5097.7344101706585</v>
      </c>
      <c r="J74" s="214">
        <f t="shared" ref="J74" si="110">J73/1000</f>
        <v>5097.7344101706585</v>
      </c>
      <c r="K74" s="214">
        <f t="shared" ref="K74" si="111">K73/1000</f>
        <v>5097.7344101706585</v>
      </c>
      <c r="L74" s="214">
        <f t="shared" ref="L74" si="112">L73/1000</f>
        <v>5097.7344101706585</v>
      </c>
      <c r="M74" s="214">
        <f t="shared" ref="M74" si="113">M73/1000</f>
        <v>5097.7344101706585</v>
      </c>
      <c r="N74" s="214">
        <f t="shared" ref="N74" si="114">N73/1000</f>
        <v>5097.7344101706585</v>
      </c>
      <c r="O74" s="214">
        <f t="shared" ref="O74" si="115">O73/1000</f>
        <v>66573.783103682552</v>
      </c>
      <c r="P74" s="162"/>
      <c r="Q74" s="168"/>
      <c r="R74" s="147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51"/>
      <c r="AE74" s="168"/>
      <c r="AF74" s="168"/>
      <c r="AG74" s="168"/>
      <c r="AH74" s="151"/>
      <c r="AI74" s="168"/>
      <c r="AJ74" s="168"/>
      <c r="AK74" s="168"/>
      <c r="AL74" s="168"/>
      <c r="AM74" s="168"/>
      <c r="AN74" s="168"/>
      <c r="AO74" s="168"/>
      <c r="AP74" s="168"/>
      <c r="AQ74" s="168"/>
      <c r="AR74" s="168"/>
      <c r="AS74" s="168"/>
      <c r="AT74" s="168"/>
      <c r="AU74" s="168"/>
      <c r="AV74" s="168"/>
      <c r="AW74" s="168"/>
      <c r="AX74" s="168"/>
      <c r="AY74" s="168"/>
      <c r="AZ74" s="168"/>
      <c r="BA74" s="168"/>
      <c r="BB74" s="168"/>
      <c r="BC74" s="168"/>
      <c r="BD74" s="168"/>
      <c r="BE74" s="168"/>
      <c r="BF74" s="168"/>
      <c r="BG74" s="168"/>
      <c r="BH74" s="168"/>
      <c r="BI74" s="168"/>
      <c r="BJ74" s="168"/>
      <c r="BK74" s="168"/>
      <c r="BL74" s="168"/>
      <c r="BM74" s="168"/>
      <c r="BN74" s="168"/>
      <c r="BO74" s="168"/>
      <c r="BP74" s="168"/>
      <c r="BQ74" s="168"/>
      <c r="BR74" s="168"/>
    </row>
    <row r="75" spans="1:70" s="157" customFormat="1" ht="15" thickBot="1" x14ac:dyDescent="0.4">
      <c r="A75" s="193" t="s">
        <v>64</v>
      </c>
      <c r="B75" s="215">
        <f t="shared" ref="B75" si="116">B74*$AB$2</f>
        <v>1031676.3128926912</v>
      </c>
      <c r="C75" s="215">
        <f t="shared" ref="C75" si="117">C74*$AB$2</f>
        <v>1031676.3128926912</v>
      </c>
      <c r="D75" s="215">
        <f t="shared" ref="D75" si="118">D74*$AB$2</f>
        <v>1031676.3128926912</v>
      </c>
      <c r="E75" s="215">
        <f t="shared" ref="E75" si="119">E74*$AB$2</f>
        <v>1031676.3128926912</v>
      </c>
      <c r="F75" s="215">
        <f t="shared" ref="F75" si="120">F74*$AB$2</f>
        <v>1031676.3128926912</v>
      </c>
      <c r="G75" s="215">
        <f t="shared" ref="G75" si="121">G74*$AB$2</f>
        <v>1019546.8820341317</v>
      </c>
      <c r="H75" s="215">
        <f t="shared" ref="H75" si="122">H74*$AB$2</f>
        <v>1019546.8820341317</v>
      </c>
      <c r="I75" s="215">
        <f t="shared" ref="I75" si="123">I74*$AB$2</f>
        <v>1019546.8820341317</v>
      </c>
      <c r="J75" s="215">
        <f t="shared" ref="J75" si="124">J74*$AB$2</f>
        <v>1019546.8820341317</v>
      </c>
      <c r="K75" s="215">
        <f t="shared" ref="K75" si="125">K74*$AB$2</f>
        <v>1019546.8820341317</v>
      </c>
      <c r="L75" s="215">
        <f t="shared" ref="L75" si="126">L74*$AB$2</f>
        <v>1019546.8820341317</v>
      </c>
      <c r="M75" s="215">
        <f t="shared" ref="M75" si="127">M74*$AB$2</f>
        <v>1019546.8820341317</v>
      </c>
      <c r="N75" s="215">
        <f t="shared" ref="N75" si="128">N74*$AB$2</f>
        <v>1019546.8820341317</v>
      </c>
      <c r="O75" s="215">
        <f t="shared" ref="O75" si="129">O74*$AB$2</f>
        <v>13314756.62073651</v>
      </c>
      <c r="P75" s="164"/>
      <c r="Q75" s="168"/>
      <c r="R75" s="147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51"/>
      <c r="AE75" s="168"/>
      <c r="AF75" s="168"/>
      <c r="AG75" s="168"/>
      <c r="AH75" s="151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  <c r="BP75" s="168"/>
      <c r="BQ75" s="168"/>
      <c r="BR75" s="168"/>
    </row>
    <row r="76" spans="1:70" s="152" customFormat="1" x14ac:dyDescent="0.35">
      <c r="A76" s="193"/>
      <c r="B76" s="214"/>
      <c r="C76" s="194"/>
      <c r="D76" s="194"/>
      <c r="E76" s="194"/>
      <c r="F76" s="194"/>
      <c r="G76" s="214"/>
      <c r="H76" s="194"/>
      <c r="I76" s="194"/>
      <c r="J76" s="194"/>
      <c r="K76" s="194"/>
      <c r="L76" s="194"/>
      <c r="M76" s="194"/>
      <c r="N76" s="194"/>
      <c r="O76" s="194"/>
      <c r="P76" s="159"/>
      <c r="Q76" s="168"/>
      <c r="R76" s="147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51"/>
      <c r="AE76" s="168"/>
      <c r="AF76" s="168"/>
      <c r="AG76" s="168"/>
      <c r="AH76" s="151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</row>
    <row r="77" spans="1:70" s="152" customFormat="1" ht="15" thickBot="1" x14ac:dyDescent="0.4">
      <c r="A77" s="197"/>
      <c r="B77" s="216"/>
      <c r="C77" s="198"/>
      <c r="D77" s="198"/>
      <c r="E77" s="198"/>
      <c r="F77" s="198"/>
      <c r="G77" s="216"/>
      <c r="H77" s="198"/>
      <c r="I77" s="198"/>
      <c r="J77" s="198"/>
      <c r="K77" s="198"/>
      <c r="L77" s="198"/>
      <c r="M77" s="198"/>
      <c r="N77" s="198"/>
      <c r="O77" s="198"/>
      <c r="P77" s="159"/>
      <c r="Q77" s="168"/>
      <c r="R77" s="147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51"/>
      <c r="AE77" s="168"/>
      <c r="AF77" s="168"/>
      <c r="AG77" s="168"/>
      <c r="AH77" s="151"/>
      <c r="AI77" s="168"/>
      <c r="AJ77" s="168"/>
      <c r="AK77" s="168"/>
      <c r="AL77" s="168"/>
      <c r="AM77" s="168"/>
      <c r="AN77" s="168"/>
      <c r="AO77" s="168"/>
      <c r="AP77" s="168"/>
      <c r="AQ77" s="168"/>
      <c r="AR77" s="168"/>
      <c r="AS77" s="168"/>
      <c r="AT77" s="168"/>
      <c r="AU77" s="168"/>
      <c r="AV77" s="168"/>
      <c r="AW77" s="168"/>
      <c r="AX77" s="168"/>
      <c r="AY77" s="168"/>
      <c r="AZ77" s="168"/>
      <c r="BA77" s="168"/>
      <c r="BB77" s="168"/>
      <c r="BC77" s="168"/>
      <c r="BD77" s="168"/>
      <c r="BE77" s="168"/>
      <c r="BF77" s="168"/>
      <c r="BG77" s="168"/>
      <c r="BH77" s="168"/>
      <c r="BI77" s="168"/>
      <c r="BJ77" s="168"/>
      <c r="BK77" s="168"/>
      <c r="BL77" s="168"/>
      <c r="BM77" s="168"/>
      <c r="BN77" s="168"/>
      <c r="BO77" s="168"/>
      <c r="BP77" s="168"/>
      <c r="BQ77" s="168"/>
      <c r="BR77" s="168"/>
    </row>
    <row r="78" spans="1:70" s="152" customFormat="1" x14ac:dyDescent="0.35">
      <c r="A78" s="187"/>
      <c r="B78" s="212"/>
      <c r="C78" s="179"/>
      <c r="D78" s="179"/>
      <c r="E78" s="179"/>
      <c r="F78" s="179"/>
      <c r="G78" s="212"/>
      <c r="H78" s="179"/>
      <c r="I78" s="179"/>
      <c r="J78" s="179"/>
      <c r="K78" s="179"/>
      <c r="L78" s="179"/>
      <c r="M78" s="179"/>
      <c r="N78" s="179"/>
      <c r="O78" s="179"/>
      <c r="P78" s="159"/>
      <c r="Q78" s="168"/>
      <c r="R78" s="147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51"/>
      <c r="AE78" s="168"/>
      <c r="AF78" s="168"/>
      <c r="AG78" s="168"/>
      <c r="AH78" s="151"/>
      <c r="AI78" s="168"/>
      <c r="AJ78" s="168"/>
      <c r="AK78" s="168"/>
      <c r="AL78" s="168"/>
      <c r="AM78" s="168"/>
      <c r="AN78" s="168"/>
      <c r="AO78" s="168"/>
      <c r="AP78" s="168"/>
      <c r="AQ78" s="168"/>
      <c r="AR78" s="168"/>
      <c r="AS78" s="168"/>
      <c r="AT78" s="168"/>
      <c r="AU78" s="168"/>
      <c r="AV78" s="168"/>
      <c r="AW78" s="168"/>
      <c r="AX78" s="168"/>
      <c r="AY78" s="168"/>
      <c r="AZ78" s="168"/>
      <c r="BA78" s="168"/>
      <c r="BB78" s="168"/>
      <c r="BC78" s="168"/>
      <c r="BD78" s="168"/>
      <c r="BE78" s="168"/>
      <c r="BF78" s="168"/>
      <c r="BG78" s="168"/>
      <c r="BH78" s="168"/>
      <c r="BI78" s="168"/>
      <c r="BJ78" s="168"/>
      <c r="BK78" s="168"/>
      <c r="BL78" s="168"/>
      <c r="BM78" s="168"/>
      <c r="BN78" s="168"/>
      <c r="BO78" s="168"/>
      <c r="BP78" s="168"/>
      <c r="BQ78" s="168"/>
      <c r="BR78" s="168"/>
    </row>
    <row r="79" spans="1:70" s="152" customFormat="1" x14ac:dyDescent="0.35">
      <c r="A79" s="187"/>
      <c r="B79" s="212"/>
      <c r="C79" s="179"/>
      <c r="D79" s="179"/>
      <c r="E79" s="179"/>
      <c r="F79" s="179"/>
      <c r="G79" s="212"/>
      <c r="H79" s="179"/>
      <c r="I79" s="179"/>
      <c r="J79" s="179"/>
      <c r="K79" s="179"/>
      <c r="L79" s="179"/>
      <c r="M79" s="179"/>
      <c r="N79" s="179"/>
      <c r="O79" s="179"/>
      <c r="P79" s="160"/>
      <c r="Q79" s="168"/>
      <c r="R79" s="147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51"/>
      <c r="AE79" s="168"/>
      <c r="AF79" s="168"/>
      <c r="AG79" s="168"/>
      <c r="AH79" s="151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68"/>
      <c r="AT79" s="168"/>
      <c r="AU79" s="168"/>
      <c r="AV79" s="168"/>
      <c r="AW79" s="168"/>
      <c r="AX79" s="168"/>
      <c r="AY79" s="168"/>
      <c r="AZ79" s="168"/>
      <c r="BA79" s="168"/>
      <c r="BB79" s="168"/>
      <c r="BC79" s="168"/>
      <c r="BD79" s="168"/>
      <c r="BE79" s="168"/>
      <c r="BF79" s="168"/>
      <c r="BG79" s="168"/>
      <c r="BH79" s="168"/>
      <c r="BI79" s="168"/>
      <c r="BJ79" s="168"/>
      <c r="BK79" s="168"/>
      <c r="BL79" s="168"/>
      <c r="BM79" s="168"/>
      <c r="BN79" s="168"/>
      <c r="BO79" s="168"/>
      <c r="BP79" s="168"/>
      <c r="BQ79" s="168"/>
      <c r="BR79" s="168"/>
    </row>
    <row r="80" spans="1:70" s="152" customFormat="1" x14ac:dyDescent="0.35">
      <c r="A80" s="180" t="s">
        <v>0</v>
      </c>
      <c r="B80" s="209" t="s">
        <v>7</v>
      </c>
      <c r="C80" s="182" t="s">
        <v>8</v>
      </c>
      <c r="D80" s="182" t="s">
        <v>9</v>
      </c>
      <c r="E80" s="182" t="s">
        <v>10</v>
      </c>
      <c r="F80" s="182" t="s">
        <v>11</v>
      </c>
      <c r="G80" s="209" t="s">
        <v>12</v>
      </c>
      <c r="H80" s="182" t="s">
        <v>13</v>
      </c>
      <c r="I80" s="182" t="s">
        <v>14</v>
      </c>
      <c r="J80" s="182" t="s">
        <v>15</v>
      </c>
      <c r="K80" s="182" t="s">
        <v>16</v>
      </c>
      <c r="L80" s="183" t="s">
        <v>17</v>
      </c>
      <c r="M80" s="184" t="s">
        <v>23</v>
      </c>
      <c r="N80" s="184" t="s">
        <v>24</v>
      </c>
      <c r="O80" s="185" t="s">
        <v>18</v>
      </c>
      <c r="P80" s="159"/>
      <c r="Q80" s="168"/>
      <c r="R80" s="147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51"/>
      <c r="AE80" s="168"/>
      <c r="AF80" s="168"/>
      <c r="AG80" s="168"/>
      <c r="AH80" s="151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68"/>
      <c r="AT80" s="168"/>
      <c r="AU80" s="168"/>
      <c r="AV80" s="168"/>
      <c r="AW80" s="168"/>
      <c r="AX80" s="168"/>
      <c r="AY80" s="168"/>
      <c r="AZ80" s="168"/>
      <c r="BA80" s="168"/>
      <c r="BB80" s="168"/>
      <c r="BC80" s="168"/>
      <c r="BD80" s="168"/>
      <c r="BE80" s="168"/>
      <c r="BF80" s="168"/>
      <c r="BG80" s="168"/>
      <c r="BH80" s="168"/>
      <c r="BI80" s="168"/>
      <c r="BJ80" s="168"/>
      <c r="BK80" s="168"/>
      <c r="BL80" s="168"/>
      <c r="BM80" s="168"/>
      <c r="BN80" s="168"/>
      <c r="BO80" s="168"/>
      <c r="BP80" s="168"/>
      <c r="BQ80" s="168"/>
      <c r="BR80" s="168"/>
    </row>
    <row r="81" spans="1:70" s="152" customFormat="1" x14ac:dyDescent="0.35">
      <c r="A81" s="154" t="s">
        <v>31</v>
      </c>
      <c r="B81" s="217">
        <v>1720</v>
      </c>
      <c r="C81" s="186">
        <v>1720</v>
      </c>
      <c r="D81" s="186">
        <v>1720</v>
      </c>
      <c r="E81" s="186">
        <v>1720</v>
      </c>
      <c r="F81" s="186">
        <v>1720</v>
      </c>
      <c r="G81" s="217">
        <v>1720</v>
      </c>
      <c r="H81" s="186">
        <v>1720</v>
      </c>
      <c r="I81" s="186">
        <v>1720</v>
      </c>
      <c r="J81" s="186">
        <v>1720</v>
      </c>
      <c r="K81" s="186">
        <v>1720</v>
      </c>
      <c r="L81" s="186">
        <v>1720</v>
      </c>
      <c r="M81" s="186">
        <v>1720</v>
      </c>
      <c r="N81" s="186">
        <v>1720</v>
      </c>
      <c r="O81" s="194">
        <f>SUM(B81:N81)</f>
        <v>22360</v>
      </c>
      <c r="P81" s="159"/>
      <c r="Q81" s="168"/>
      <c r="R81" s="147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168"/>
      <c r="AD81" s="151"/>
      <c r="AE81" s="168"/>
      <c r="AF81" s="168"/>
      <c r="AG81" s="168"/>
      <c r="AH81" s="151"/>
      <c r="AI81" s="168"/>
      <c r="AJ81" s="168"/>
      <c r="AK81" s="168"/>
      <c r="AL81" s="168"/>
      <c r="AM81" s="168"/>
      <c r="AN81" s="168"/>
      <c r="AO81" s="168"/>
      <c r="AP81" s="168"/>
      <c r="AQ81" s="168"/>
      <c r="AR81" s="168"/>
      <c r="AS81" s="168"/>
      <c r="AT81" s="168"/>
      <c r="AU81" s="168"/>
      <c r="AV81" s="168"/>
      <c r="AW81" s="168"/>
      <c r="AX81" s="168"/>
      <c r="AY81" s="168"/>
      <c r="AZ81" s="168"/>
      <c r="BA81" s="168"/>
      <c r="BB81" s="168"/>
      <c r="BC81" s="168"/>
      <c r="BD81" s="168"/>
      <c r="BE81" s="168"/>
      <c r="BF81" s="168"/>
      <c r="BG81" s="168"/>
      <c r="BH81" s="168"/>
      <c r="BI81" s="168"/>
      <c r="BJ81" s="168"/>
      <c r="BK81" s="168"/>
      <c r="BL81" s="168"/>
      <c r="BM81" s="168"/>
      <c r="BN81" s="168"/>
      <c r="BO81" s="168"/>
      <c r="BP81" s="168"/>
      <c r="BQ81" s="168"/>
      <c r="BR81" s="168"/>
    </row>
    <row r="82" spans="1:70" s="152" customFormat="1" x14ac:dyDescent="0.35">
      <c r="A82" s="187" t="s">
        <v>20</v>
      </c>
      <c r="B82" s="218">
        <f>'housing proportion projections'!I31</f>
        <v>184.64770689213427</v>
      </c>
      <c r="C82" s="186">
        <f>'housing proportion projections'!J31</f>
        <v>184.64770689213427</v>
      </c>
      <c r="D82" s="186">
        <f>'housing proportion projections'!K31</f>
        <v>184.64770689213427</v>
      </c>
      <c r="E82" s="186">
        <f>'housing proportion projections'!L31</f>
        <v>184.64770689213427</v>
      </c>
      <c r="F82" s="186">
        <f>'housing proportion projections'!M31</f>
        <v>184.64770689213427</v>
      </c>
      <c r="G82" s="218">
        <f>'housing proportion projections'!N31</f>
        <v>184.64770689213427</v>
      </c>
      <c r="H82" s="186">
        <f>'housing proportion projections'!O31</f>
        <v>184.64770689213427</v>
      </c>
      <c r="I82" s="186">
        <f>'housing proportion projections'!P31</f>
        <v>184.64770689213427</v>
      </c>
      <c r="J82" s="186">
        <f>'housing proportion projections'!Q31</f>
        <v>184.64770689213427</v>
      </c>
      <c r="K82" s="186">
        <f>'housing proportion projections'!R31</f>
        <v>184.64770689213427</v>
      </c>
      <c r="L82" s="186">
        <f>'housing proportion projections'!S31</f>
        <v>184.64770689213427</v>
      </c>
      <c r="M82" s="186">
        <f>'housing proportion projections'!T31</f>
        <v>184.64770689213427</v>
      </c>
      <c r="N82" s="186">
        <f>'housing proportion projections'!U31</f>
        <v>184.64770689213427</v>
      </c>
      <c r="O82" s="194">
        <f t="shared" ref="O82:O85" si="130">SUM(B82:N82)</f>
        <v>2400.4201895977458</v>
      </c>
      <c r="P82" s="159"/>
      <c r="Q82" s="168"/>
      <c r="R82" s="147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51"/>
      <c r="AE82" s="168"/>
      <c r="AF82" s="168"/>
      <c r="AG82" s="168"/>
      <c r="AH82" s="151"/>
      <c r="AI82" s="168"/>
      <c r="AJ82" s="168"/>
      <c r="AK82" s="168"/>
      <c r="AL82" s="168"/>
      <c r="AM82" s="168"/>
      <c r="AN82" s="168"/>
      <c r="AO82" s="168"/>
      <c r="AP82" s="168"/>
      <c r="AQ82" s="168"/>
      <c r="AR82" s="168"/>
      <c r="AS82" s="168"/>
      <c r="AT82" s="168"/>
      <c r="AU82" s="168"/>
      <c r="AV82" s="168"/>
      <c r="AW82" s="168"/>
      <c r="AX82" s="168"/>
      <c r="AY82" s="168"/>
      <c r="AZ82" s="168"/>
      <c r="BA82" s="168"/>
      <c r="BB82" s="168"/>
      <c r="BC82" s="168"/>
      <c r="BD82" s="168"/>
      <c r="BE82" s="168"/>
      <c r="BF82" s="168"/>
      <c r="BG82" s="168"/>
      <c r="BH82" s="168"/>
      <c r="BI82" s="168"/>
      <c r="BJ82" s="168"/>
      <c r="BK82" s="168"/>
      <c r="BL82" s="168"/>
      <c r="BM82" s="168"/>
      <c r="BN82" s="168"/>
      <c r="BO82" s="168"/>
      <c r="BP82" s="168"/>
      <c r="BQ82" s="168"/>
      <c r="BR82" s="168"/>
    </row>
    <row r="83" spans="1:70" s="158" customFormat="1" x14ac:dyDescent="0.35">
      <c r="A83" s="187" t="s">
        <v>21</v>
      </c>
      <c r="B83" s="218">
        <f>'housing proportion projections'!I32</f>
        <v>477.70433000256213</v>
      </c>
      <c r="C83" s="186">
        <f>'housing proportion projections'!J32</f>
        <v>477.70433000256213</v>
      </c>
      <c r="D83" s="186">
        <f>'housing proportion projections'!K32</f>
        <v>477.70433000256213</v>
      </c>
      <c r="E83" s="186">
        <f>'housing proportion projections'!L32</f>
        <v>477.70433000256213</v>
      </c>
      <c r="F83" s="186">
        <f>'housing proportion projections'!M32</f>
        <v>477.70433000256213</v>
      </c>
      <c r="G83" s="218">
        <f>'housing proportion projections'!N32</f>
        <v>477.70433000256213</v>
      </c>
      <c r="H83" s="186">
        <f>'housing proportion projections'!O32</f>
        <v>477.70433000256213</v>
      </c>
      <c r="I83" s="186">
        <f>'housing proportion projections'!P32</f>
        <v>477.70433000256213</v>
      </c>
      <c r="J83" s="186">
        <f>'housing proportion projections'!Q32</f>
        <v>477.70433000256213</v>
      </c>
      <c r="K83" s="186">
        <f>'housing proportion projections'!R32</f>
        <v>477.70433000256213</v>
      </c>
      <c r="L83" s="186">
        <f>'housing proportion projections'!S32</f>
        <v>477.70433000256213</v>
      </c>
      <c r="M83" s="186">
        <f>'housing proportion projections'!T32</f>
        <v>477.70433000256213</v>
      </c>
      <c r="N83" s="186">
        <f>'housing proportion projections'!U32</f>
        <v>477.70433000256213</v>
      </c>
      <c r="O83" s="194">
        <f t="shared" si="130"/>
        <v>6210.1562900333092</v>
      </c>
      <c r="P83" s="167"/>
      <c r="Q83" s="168"/>
      <c r="R83" s="147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51"/>
      <c r="AE83" s="168"/>
      <c r="AF83" s="168"/>
      <c r="AG83" s="168"/>
      <c r="AH83" s="151"/>
      <c r="AI83" s="168"/>
      <c r="AJ83" s="168"/>
      <c r="AK83" s="168"/>
      <c r="AL83" s="168"/>
      <c r="AM83" s="168"/>
      <c r="AN83" s="168"/>
      <c r="AO83" s="168"/>
      <c r="AP83" s="168"/>
      <c r="AQ83" s="168"/>
      <c r="AR83" s="168"/>
      <c r="AS83" s="168"/>
      <c r="AT83" s="168"/>
      <c r="AU83" s="168"/>
      <c r="AV83" s="168"/>
      <c r="AW83" s="168"/>
      <c r="AX83" s="168"/>
      <c r="AY83" s="168"/>
      <c r="AZ83" s="168"/>
      <c r="BA83" s="168"/>
      <c r="BB83" s="168"/>
      <c r="BC83" s="168"/>
      <c r="BD83" s="168"/>
      <c r="BE83" s="168"/>
      <c r="BF83" s="168"/>
      <c r="BG83" s="168"/>
      <c r="BH83" s="168"/>
      <c r="BI83" s="168"/>
      <c r="BJ83" s="168"/>
      <c r="BK83" s="168"/>
      <c r="BL83" s="168"/>
      <c r="BM83" s="168"/>
      <c r="BN83" s="168"/>
      <c r="BO83" s="168"/>
      <c r="BP83" s="168"/>
      <c r="BQ83" s="168"/>
      <c r="BR83" s="168"/>
    </row>
    <row r="84" spans="1:70" s="152" customFormat="1" ht="15" thickBot="1" x14ac:dyDescent="0.4">
      <c r="A84" s="187" t="s">
        <v>26</v>
      </c>
      <c r="B84" s="218">
        <f>'housing proportion projections'!I33</f>
        <v>529.99914595610221</v>
      </c>
      <c r="C84" s="186">
        <f>'housing proportion projections'!J33</f>
        <v>529.99914595610221</v>
      </c>
      <c r="D84" s="186">
        <f>'housing proportion projections'!K33</f>
        <v>529.99914595610221</v>
      </c>
      <c r="E84" s="186">
        <f>'housing proportion projections'!L33</f>
        <v>529.99914595610221</v>
      </c>
      <c r="F84" s="186">
        <f>'housing proportion projections'!M33</f>
        <v>529.99914595610221</v>
      </c>
      <c r="G84" s="218">
        <f>'housing proportion projections'!N33</f>
        <v>529.99914595610221</v>
      </c>
      <c r="H84" s="186">
        <f>'housing proportion projections'!O33</f>
        <v>529.99914595610221</v>
      </c>
      <c r="I84" s="186">
        <f>'housing proportion projections'!P33</f>
        <v>529.99914595610221</v>
      </c>
      <c r="J84" s="186">
        <f>'housing proportion projections'!Q33</f>
        <v>529.99914595610221</v>
      </c>
      <c r="K84" s="186">
        <f>'housing proportion projections'!R33</f>
        <v>529.99914595610221</v>
      </c>
      <c r="L84" s="186">
        <f>'housing proportion projections'!S33</f>
        <v>529.99914595610221</v>
      </c>
      <c r="M84" s="186">
        <f>'housing proportion projections'!T33</f>
        <v>529.99914595610221</v>
      </c>
      <c r="N84" s="186">
        <f>'housing proportion projections'!U33</f>
        <v>529.99914595610221</v>
      </c>
      <c r="O84" s="194">
        <f t="shared" si="130"/>
        <v>6889.9888974293308</v>
      </c>
      <c r="P84" s="159"/>
      <c r="Q84" s="168"/>
      <c r="R84" s="147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51"/>
      <c r="AE84" s="168"/>
      <c r="AF84" s="168"/>
      <c r="AG84" s="168"/>
      <c r="AH84" s="151"/>
      <c r="AI84" s="168"/>
      <c r="AJ84" s="168"/>
      <c r="AK84" s="168"/>
      <c r="AL84" s="168"/>
      <c r="AM84" s="168"/>
      <c r="AN84" s="168"/>
      <c r="AO84" s="168"/>
      <c r="AP84" s="168"/>
      <c r="AQ84" s="168"/>
      <c r="AR84" s="168"/>
      <c r="AS84" s="168"/>
      <c r="AT84" s="168"/>
      <c r="AU84" s="168"/>
      <c r="AV84" s="168"/>
      <c r="AW84" s="168"/>
      <c r="AX84" s="168"/>
      <c r="AY84" s="168"/>
      <c r="AZ84" s="168"/>
      <c r="BA84" s="168"/>
      <c r="BB84" s="168"/>
      <c r="BC84" s="168"/>
      <c r="BD84" s="168"/>
      <c r="BE84" s="168"/>
      <c r="BF84" s="168"/>
      <c r="BG84" s="168"/>
      <c r="BH84" s="168"/>
      <c r="BI84" s="168"/>
      <c r="BJ84" s="168"/>
      <c r="BK84" s="168"/>
      <c r="BL84" s="168"/>
      <c r="BM84" s="168"/>
      <c r="BN84" s="168"/>
      <c r="BO84" s="168"/>
      <c r="BP84" s="168"/>
      <c r="BQ84" s="168"/>
      <c r="BR84" s="168"/>
    </row>
    <row r="85" spans="1:70" s="156" customFormat="1" x14ac:dyDescent="0.35">
      <c r="A85" s="190" t="s">
        <v>22</v>
      </c>
      <c r="B85" s="218">
        <f>'housing proportion projections'!I34</f>
        <v>527.79571269963276</v>
      </c>
      <c r="C85" s="186">
        <f>'housing proportion projections'!J34</f>
        <v>527.79571269963276</v>
      </c>
      <c r="D85" s="186">
        <f>'housing proportion projections'!K34</f>
        <v>527.79571269963276</v>
      </c>
      <c r="E85" s="186">
        <f>'housing proportion projections'!L34</f>
        <v>527.79571269963276</v>
      </c>
      <c r="F85" s="186">
        <f>'housing proportion projections'!M34</f>
        <v>527.79571269963276</v>
      </c>
      <c r="G85" s="218">
        <f>'housing proportion projections'!N34</f>
        <v>527.79571269963276</v>
      </c>
      <c r="H85" s="186">
        <f>'housing proportion projections'!O34</f>
        <v>527.79571269963276</v>
      </c>
      <c r="I85" s="186">
        <f>'housing proportion projections'!P34</f>
        <v>527.79571269963276</v>
      </c>
      <c r="J85" s="186">
        <f>'housing proportion projections'!Q34</f>
        <v>527.79571269963276</v>
      </c>
      <c r="K85" s="186">
        <f>'housing proportion projections'!R34</f>
        <v>527.79571269963276</v>
      </c>
      <c r="L85" s="186">
        <f>'housing proportion projections'!S34</f>
        <v>527.79571269963276</v>
      </c>
      <c r="M85" s="186">
        <f>'housing proportion projections'!T34</f>
        <v>527.79571269963276</v>
      </c>
      <c r="N85" s="186">
        <f>'housing proportion projections'!U34</f>
        <v>527.79571269963276</v>
      </c>
      <c r="O85" s="194">
        <f t="shared" si="130"/>
        <v>6861.3442650952238</v>
      </c>
      <c r="P85" s="161"/>
      <c r="Q85" s="168"/>
      <c r="R85" s="147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51"/>
      <c r="AE85" s="168"/>
      <c r="AF85" s="168"/>
      <c r="AG85" s="168"/>
      <c r="AH85" s="151"/>
      <c r="AI85" s="168"/>
      <c r="AJ85" s="168"/>
      <c r="AK85" s="168"/>
      <c r="AL85" s="168"/>
      <c r="AM85" s="168"/>
      <c r="AN85" s="168"/>
      <c r="AO85" s="168"/>
      <c r="AP85" s="168"/>
      <c r="AQ85" s="168"/>
      <c r="AR85" s="168"/>
      <c r="AS85" s="168"/>
      <c r="AT85" s="168"/>
      <c r="AU85" s="168"/>
      <c r="AV85" s="168"/>
      <c r="AW85" s="168"/>
      <c r="AX85" s="168"/>
      <c r="AY85" s="168"/>
      <c r="AZ85" s="168"/>
      <c r="BA85" s="168"/>
      <c r="BB85" s="168"/>
      <c r="BC85" s="168"/>
      <c r="BD85" s="168"/>
      <c r="BE85" s="168"/>
      <c r="BF85" s="168"/>
      <c r="BG85" s="168"/>
      <c r="BH85" s="168"/>
      <c r="BI85" s="168"/>
      <c r="BJ85" s="168"/>
      <c r="BK85" s="168"/>
      <c r="BL85" s="168"/>
      <c r="BM85" s="168"/>
      <c r="BN85" s="168"/>
      <c r="BO85" s="168"/>
      <c r="BP85" s="168"/>
      <c r="BQ85" s="168"/>
      <c r="BR85" s="168"/>
    </row>
    <row r="86" spans="1:70" s="155" customFormat="1" ht="15" thickBot="1" x14ac:dyDescent="0.4">
      <c r="A86" s="179"/>
      <c r="B86" s="212"/>
      <c r="C86" s="179"/>
      <c r="D86" s="179"/>
      <c r="E86" s="179"/>
      <c r="F86" s="179"/>
      <c r="G86" s="212"/>
      <c r="H86" s="179"/>
      <c r="I86" s="179"/>
      <c r="J86" s="179"/>
      <c r="K86" s="179"/>
      <c r="L86" s="179"/>
      <c r="M86" s="179"/>
      <c r="N86" s="179"/>
      <c r="O86" s="179"/>
      <c r="P86" s="162"/>
      <c r="Q86" s="168"/>
      <c r="R86" s="147"/>
      <c r="S86" s="168"/>
      <c r="T86" s="168"/>
      <c r="U86" s="168"/>
      <c r="V86" s="168"/>
      <c r="W86" s="168"/>
      <c r="X86" s="168"/>
      <c r="Y86" s="168"/>
      <c r="Z86" s="168"/>
      <c r="AA86" s="168"/>
      <c r="AB86" s="168"/>
      <c r="AC86" s="168"/>
      <c r="AD86" s="151"/>
      <c r="AE86" s="168"/>
      <c r="AF86" s="168"/>
      <c r="AG86" s="168"/>
      <c r="AH86" s="151"/>
      <c r="AI86" s="168"/>
      <c r="AJ86" s="168"/>
      <c r="AK86" s="168"/>
      <c r="AL86" s="168"/>
      <c r="AM86" s="168"/>
      <c r="AN86" s="168"/>
      <c r="AO86" s="168"/>
      <c r="AP86" s="168"/>
      <c r="AQ86" s="168"/>
      <c r="AR86" s="168"/>
      <c r="AS86" s="168"/>
      <c r="AT86" s="168"/>
      <c r="AU86" s="168"/>
      <c r="AV86" s="168"/>
      <c r="AW86" s="168"/>
      <c r="AX86" s="168"/>
      <c r="AY86" s="168"/>
      <c r="AZ86" s="168"/>
      <c r="BA86" s="168"/>
      <c r="BB86" s="168"/>
      <c r="BC86" s="168"/>
      <c r="BD86" s="168"/>
      <c r="BE86" s="168"/>
      <c r="BF86" s="168"/>
      <c r="BG86" s="168"/>
      <c r="BH86" s="168"/>
      <c r="BI86" s="168"/>
      <c r="BJ86" s="168"/>
      <c r="BK86" s="168"/>
      <c r="BL86" s="168"/>
      <c r="BM86" s="168"/>
      <c r="BN86" s="168"/>
      <c r="BO86" s="168"/>
      <c r="BP86" s="168"/>
      <c r="BQ86" s="168"/>
      <c r="BR86" s="168"/>
    </row>
    <row r="87" spans="1:70" s="155" customFormat="1" x14ac:dyDescent="0.35">
      <c r="A87" s="191" t="s">
        <v>134</v>
      </c>
      <c r="B87" s="213"/>
      <c r="C87" s="192"/>
      <c r="D87" s="192"/>
      <c r="E87" s="192"/>
      <c r="F87" s="192"/>
      <c r="G87" s="213"/>
      <c r="H87" s="192"/>
      <c r="I87" s="192"/>
      <c r="J87" s="192"/>
      <c r="K87" s="192"/>
      <c r="L87" s="192"/>
      <c r="M87" s="192"/>
      <c r="N87" s="192"/>
      <c r="O87" s="192"/>
      <c r="P87" s="163"/>
      <c r="Q87" s="168"/>
      <c r="R87" s="147"/>
      <c r="S87" s="168"/>
      <c r="T87" s="168"/>
      <c r="U87" s="168"/>
      <c r="V87" s="168"/>
      <c r="W87" s="168"/>
      <c r="X87" s="168"/>
      <c r="Y87" s="168"/>
      <c r="Z87" s="168"/>
      <c r="AA87" s="168"/>
      <c r="AB87" s="168"/>
      <c r="AC87" s="168"/>
      <c r="AD87" s="151"/>
      <c r="AE87" s="168"/>
      <c r="AF87" s="168"/>
      <c r="AG87" s="168"/>
      <c r="AH87" s="151"/>
      <c r="AI87" s="168"/>
      <c r="AJ87" s="168"/>
      <c r="AK87" s="168"/>
      <c r="AL87" s="168"/>
      <c r="AM87" s="168"/>
      <c r="AN87" s="168"/>
      <c r="AO87" s="168"/>
      <c r="AP87" s="168"/>
      <c r="AQ87" s="168"/>
      <c r="AR87" s="168"/>
      <c r="AS87" s="168"/>
      <c r="AT87" s="168"/>
      <c r="AU87" s="168"/>
      <c r="AV87" s="168"/>
      <c r="AW87" s="168"/>
      <c r="AX87" s="168"/>
      <c r="AY87" s="168"/>
      <c r="AZ87" s="168"/>
      <c r="BA87" s="168"/>
      <c r="BB87" s="168"/>
      <c r="BC87" s="168"/>
      <c r="BD87" s="168"/>
      <c r="BE87" s="168"/>
      <c r="BF87" s="168"/>
      <c r="BG87" s="168"/>
      <c r="BH87" s="168"/>
      <c r="BI87" s="168"/>
      <c r="BJ87" s="168"/>
      <c r="BK87" s="168"/>
      <c r="BL87" s="168"/>
      <c r="BM87" s="168"/>
      <c r="BN87" s="168"/>
      <c r="BO87" s="168"/>
      <c r="BP87" s="168"/>
      <c r="BQ87" s="168"/>
      <c r="BR87" s="168"/>
    </row>
    <row r="88" spans="1:70" s="155" customFormat="1" x14ac:dyDescent="0.35">
      <c r="A88" s="193" t="s">
        <v>112</v>
      </c>
      <c r="B88" s="214">
        <f>((B82*$AE$28)+(B83*$AE$29)+(B84*$AE$30)+(B85*$AE$31))*30</f>
        <v>12599888.366049401</v>
      </c>
      <c r="C88" s="214">
        <f t="shared" ref="C88:F88" si="131">((C82*$AE$28)+(C83*$AE$29)+(C84*$AE$30)+(C85*$AE$31))*30</f>
        <v>12599888.366049401</v>
      </c>
      <c r="D88" s="214">
        <f t="shared" si="131"/>
        <v>12599888.366049401</v>
      </c>
      <c r="E88" s="214">
        <f t="shared" si="131"/>
        <v>12599888.366049401</v>
      </c>
      <c r="F88" s="214">
        <f t="shared" si="131"/>
        <v>12599888.366049401</v>
      </c>
      <c r="G88" s="214">
        <f>((G82*$AI$28)+(G83*$AI$29)+(G84*$AI$30)+(G85*$AI$31))*30</f>
        <v>12446382.904080566</v>
      </c>
      <c r="H88" s="214">
        <f t="shared" ref="H88:N88" si="132">((H82*$AI$28)+(H83*$AI$29)+(H84*$AI$30)+(H85*$AI$31))*30</f>
        <v>12446382.904080566</v>
      </c>
      <c r="I88" s="214">
        <f t="shared" si="132"/>
        <v>12446382.904080566</v>
      </c>
      <c r="J88" s="214">
        <f t="shared" si="132"/>
        <v>12446382.904080566</v>
      </c>
      <c r="K88" s="214">
        <f t="shared" si="132"/>
        <v>12446382.904080566</v>
      </c>
      <c r="L88" s="214">
        <f t="shared" si="132"/>
        <v>12446382.904080566</v>
      </c>
      <c r="M88" s="214">
        <f t="shared" si="132"/>
        <v>12446382.904080566</v>
      </c>
      <c r="N88" s="214">
        <f t="shared" si="132"/>
        <v>12446382.904080566</v>
      </c>
      <c r="O88" s="214">
        <f>SUM(B88:N88)</f>
        <v>162570505.06289154</v>
      </c>
      <c r="P88" s="162"/>
      <c r="Q88" s="168"/>
      <c r="R88" s="147"/>
      <c r="S88" s="168"/>
      <c r="T88" s="168"/>
      <c r="U88" s="168"/>
      <c r="V88" s="168"/>
      <c r="W88" s="168"/>
      <c r="X88" s="168"/>
      <c r="Y88" s="168"/>
      <c r="Z88" s="168"/>
      <c r="AA88" s="168"/>
      <c r="AB88" s="168"/>
      <c r="AC88" s="168"/>
      <c r="AD88" s="151"/>
      <c r="AE88" s="168"/>
      <c r="AF88" s="168"/>
      <c r="AG88" s="168"/>
      <c r="AH88" s="151"/>
      <c r="AI88" s="168"/>
      <c r="AJ88" s="168"/>
      <c r="AK88" s="168"/>
      <c r="AL88" s="168"/>
      <c r="AM88" s="168"/>
      <c r="AN88" s="168"/>
      <c r="AO88" s="168"/>
      <c r="AP88" s="168"/>
      <c r="AQ88" s="168"/>
      <c r="AR88" s="168"/>
      <c r="AS88" s="168"/>
      <c r="AT88" s="168"/>
      <c r="AU88" s="168"/>
      <c r="AV88" s="168"/>
      <c r="AW88" s="168"/>
      <c r="AX88" s="168"/>
      <c r="AY88" s="168"/>
      <c r="AZ88" s="168"/>
      <c r="BA88" s="168"/>
      <c r="BB88" s="168"/>
      <c r="BC88" s="168"/>
      <c r="BD88" s="168"/>
      <c r="BE88" s="168"/>
      <c r="BF88" s="168"/>
      <c r="BG88" s="168"/>
      <c r="BH88" s="168"/>
      <c r="BI88" s="168"/>
      <c r="BJ88" s="168"/>
      <c r="BK88" s="168"/>
      <c r="BL88" s="168"/>
      <c r="BM88" s="168"/>
      <c r="BN88" s="168"/>
      <c r="BO88" s="168"/>
      <c r="BP88" s="168"/>
      <c r="BQ88" s="168"/>
      <c r="BR88" s="168"/>
    </row>
    <row r="89" spans="1:70" s="155" customFormat="1" x14ac:dyDescent="0.35">
      <c r="A89" s="193" t="s">
        <v>113</v>
      </c>
      <c r="B89" s="214">
        <f t="shared" ref="B89" si="133">B88/1000</f>
        <v>12599.888366049401</v>
      </c>
      <c r="C89" s="214">
        <f t="shared" ref="C89" si="134">C88/1000</f>
        <v>12599.888366049401</v>
      </c>
      <c r="D89" s="214">
        <f t="shared" ref="D89" si="135">D88/1000</f>
        <v>12599.888366049401</v>
      </c>
      <c r="E89" s="214">
        <f t="shared" ref="E89" si="136">E88/1000</f>
        <v>12599.888366049401</v>
      </c>
      <c r="F89" s="214">
        <f t="shared" ref="F89" si="137">F88/1000</f>
        <v>12599.888366049401</v>
      </c>
      <c r="G89" s="214">
        <f t="shared" ref="G89" si="138">G88/1000</f>
        <v>12446.382904080567</v>
      </c>
      <c r="H89" s="214">
        <f t="shared" ref="H89" si="139">H88/1000</f>
        <v>12446.382904080567</v>
      </c>
      <c r="I89" s="214">
        <f t="shared" ref="I89" si="140">I88/1000</f>
        <v>12446.382904080567</v>
      </c>
      <c r="J89" s="214">
        <f t="shared" ref="J89" si="141">J88/1000</f>
        <v>12446.382904080567</v>
      </c>
      <c r="K89" s="214">
        <f t="shared" ref="K89" si="142">K88/1000</f>
        <v>12446.382904080567</v>
      </c>
      <c r="L89" s="214">
        <f t="shared" ref="L89" si="143">L88/1000</f>
        <v>12446.382904080567</v>
      </c>
      <c r="M89" s="214">
        <f t="shared" ref="M89" si="144">M88/1000</f>
        <v>12446.382904080567</v>
      </c>
      <c r="N89" s="214">
        <f t="shared" ref="N89" si="145">N88/1000</f>
        <v>12446.382904080567</v>
      </c>
      <c r="O89" s="214">
        <f t="shared" ref="O89" si="146">O88/1000</f>
        <v>162570.50506289155</v>
      </c>
      <c r="P89" s="162"/>
      <c r="Q89" s="168"/>
      <c r="R89" s="147"/>
      <c r="S89" s="168"/>
      <c r="T89" s="168"/>
      <c r="U89" s="168"/>
      <c r="V89" s="168"/>
      <c r="W89" s="168"/>
      <c r="X89" s="168"/>
      <c r="Y89" s="168"/>
      <c r="Z89" s="168"/>
      <c r="AA89" s="168"/>
      <c r="AB89" s="168"/>
      <c r="AC89" s="168"/>
      <c r="AD89" s="151"/>
      <c r="AE89" s="168"/>
      <c r="AF89" s="168"/>
      <c r="AG89" s="168"/>
      <c r="AH89" s="151"/>
      <c r="AI89" s="168"/>
      <c r="AJ89" s="168"/>
      <c r="AK89" s="168"/>
      <c r="AL89" s="168"/>
      <c r="AM89" s="168"/>
      <c r="AN89" s="168"/>
      <c r="AO89" s="168"/>
      <c r="AP89" s="168"/>
      <c r="AQ89" s="168"/>
      <c r="AR89" s="168"/>
      <c r="AS89" s="168"/>
      <c r="AT89" s="168"/>
      <c r="AU89" s="168"/>
      <c r="AV89" s="168"/>
      <c r="AW89" s="168"/>
      <c r="AX89" s="168"/>
      <c r="AY89" s="168"/>
      <c r="AZ89" s="168"/>
      <c r="BA89" s="168"/>
      <c r="BB89" s="168"/>
      <c r="BC89" s="168"/>
      <c r="BD89" s="168"/>
      <c r="BE89" s="168"/>
      <c r="BF89" s="168"/>
      <c r="BG89" s="168"/>
      <c r="BH89" s="168"/>
      <c r="BI89" s="168"/>
      <c r="BJ89" s="168"/>
      <c r="BK89" s="168"/>
      <c r="BL89" s="168"/>
      <c r="BM89" s="168"/>
      <c r="BN89" s="168"/>
      <c r="BO89" s="168"/>
      <c r="BP89" s="168"/>
      <c r="BQ89" s="168"/>
      <c r="BR89" s="168"/>
    </row>
    <row r="90" spans="1:70" s="157" customFormat="1" ht="15" thickBot="1" x14ac:dyDescent="0.4">
      <c r="A90" s="193" t="s">
        <v>64</v>
      </c>
      <c r="B90" s="215">
        <f t="shared" ref="B90" si="147">B89*$AB$2</f>
        <v>2519977.67320988</v>
      </c>
      <c r="C90" s="215">
        <f t="shared" ref="C90" si="148">C89*$AB$2</f>
        <v>2519977.67320988</v>
      </c>
      <c r="D90" s="215">
        <f t="shared" ref="D90" si="149">D89*$AB$2</f>
        <v>2519977.67320988</v>
      </c>
      <c r="E90" s="215">
        <f t="shared" ref="E90" si="150">E89*$AB$2</f>
        <v>2519977.67320988</v>
      </c>
      <c r="F90" s="215">
        <f t="shared" ref="F90" si="151">F89*$AB$2</f>
        <v>2519977.67320988</v>
      </c>
      <c r="G90" s="215">
        <f t="shared" ref="G90" si="152">G89*$AB$2</f>
        <v>2489276.5808161134</v>
      </c>
      <c r="H90" s="215">
        <f t="shared" ref="H90" si="153">H89*$AB$2</f>
        <v>2489276.5808161134</v>
      </c>
      <c r="I90" s="215">
        <f t="shared" ref="I90" si="154">I89*$AB$2</f>
        <v>2489276.5808161134</v>
      </c>
      <c r="J90" s="215">
        <f t="shared" ref="J90" si="155">J89*$AB$2</f>
        <v>2489276.5808161134</v>
      </c>
      <c r="K90" s="215">
        <f t="shared" ref="K90" si="156">K89*$AB$2</f>
        <v>2489276.5808161134</v>
      </c>
      <c r="L90" s="215">
        <f t="shared" ref="L90" si="157">L89*$AB$2</f>
        <v>2489276.5808161134</v>
      </c>
      <c r="M90" s="215">
        <f t="shared" ref="M90" si="158">M89*$AB$2</f>
        <v>2489276.5808161134</v>
      </c>
      <c r="N90" s="215">
        <f t="shared" ref="N90" si="159">N89*$AB$2</f>
        <v>2489276.5808161134</v>
      </c>
      <c r="O90" s="215">
        <f t="shared" ref="O90" si="160">O89*$AB$2</f>
        <v>32514101.012578309</v>
      </c>
      <c r="P90" s="164"/>
      <c r="Q90" s="168"/>
      <c r="R90" s="147"/>
      <c r="S90" s="168"/>
      <c r="T90" s="168"/>
      <c r="U90" s="168"/>
      <c r="V90" s="168"/>
      <c r="W90" s="168"/>
      <c r="X90" s="168"/>
      <c r="Y90" s="168"/>
      <c r="Z90" s="168"/>
      <c r="AA90" s="168"/>
      <c r="AB90" s="168"/>
      <c r="AC90" s="168"/>
      <c r="AD90" s="151"/>
      <c r="AE90" s="168"/>
      <c r="AF90" s="168"/>
      <c r="AG90" s="168"/>
      <c r="AH90" s="151"/>
      <c r="AI90" s="168"/>
      <c r="AJ90" s="168"/>
      <c r="AK90" s="168"/>
      <c r="AL90" s="168"/>
      <c r="AM90" s="168"/>
      <c r="AN90" s="168"/>
      <c r="AO90" s="168"/>
      <c r="AP90" s="168"/>
      <c r="AQ90" s="168"/>
      <c r="AR90" s="168"/>
      <c r="AS90" s="168"/>
      <c r="AT90" s="168"/>
      <c r="AU90" s="168"/>
      <c r="AV90" s="168"/>
      <c r="AW90" s="168"/>
      <c r="AX90" s="168"/>
      <c r="AY90" s="168"/>
      <c r="AZ90" s="168"/>
      <c r="BA90" s="168"/>
      <c r="BB90" s="168"/>
      <c r="BC90" s="168"/>
      <c r="BD90" s="168"/>
      <c r="BE90" s="168"/>
      <c r="BF90" s="168"/>
      <c r="BG90" s="168"/>
      <c r="BH90" s="168"/>
      <c r="BI90" s="168"/>
      <c r="BJ90" s="168"/>
      <c r="BK90" s="168"/>
      <c r="BL90" s="168"/>
      <c r="BM90" s="168"/>
      <c r="BN90" s="168"/>
      <c r="BO90" s="168"/>
      <c r="BP90" s="168"/>
      <c r="BQ90" s="168"/>
      <c r="BR90" s="168"/>
    </row>
    <row r="91" spans="1:70" s="152" customFormat="1" x14ac:dyDescent="0.35">
      <c r="A91" s="193"/>
      <c r="B91" s="214"/>
      <c r="C91" s="194"/>
      <c r="D91" s="194"/>
      <c r="E91" s="194"/>
      <c r="F91" s="194"/>
      <c r="G91" s="214"/>
      <c r="H91" s="194"/>
      <c r="I91" s="194"/>
      <c r="J91" s="194"/>
      <c r="K91" s="194"/>
      <c r="L91" s="194"/>
      <c r="M91" s="194"/>
      <c r="N91" s="194"/>
      <c r="O91" s="194"/>
      <c r="P91" s="159"/>
      <c r="Q91" s="168"/>
      <c r="R91" s="147"/>
      <c r="S91" s="168"/>
      <c r="T91" s="168"/>
      <c r="U91" s="168"/>
      <c r="V91" s="168"/>
      <c r="W91" s="168"/>
      <c r="X91" s="168"/>
      <c r="Y91" s="168"/>
      <c r="Z91" s="168"/>
      <c r="AA91" s="168"/>
      <c r="AB91" s="168"/>
      <c r="AC91" s="168"/>
      <c r="AD91" s="151"/>
      <c r="AE91" s="168"/>
      <c r="AF91" s="168"/>
      <c r="AG91" s="168"/>
      <c r="AH91" s="151"/>
      <c r="AI91" s="168"/>
      <c r="AJ91" s="168"/>
      <c r="AK91" s="168"/>
      <c r="AL91" s="168"/>
      <c r="AM91" s="168"/>
      <c r="AN91" s="168"/>
      <c r="AO91" s="168"/>
      <c r="AP91" s="168"/>
      <c r="AQ91" s="168"/>
      <c r="AR91" s="168"/>
      <c r="AS91" s="168"/>
      <c r="AT91" s="168"/>
      <c r="AU91" s="168"/>
      <c r="AV91" s="168"/>
      <c r="AW91" s="168"/>
      <c r="AX91" s="168"/>
      <c r="AY91" s="168"/>
      <c r="AZ91" s="168"/>
      <c r="BA91" s="168"/>
      <c r="BB91" s="168"/>
      <c r="BC91" s="168"/>
      <c r="BD91" s="168"/>
      <c r="BE91" s="168"/>
      <c r="BF91" s="168"/>
      <c r="BG91" s="168"/>
      <c r="BH91" s="168"/>
      <c r="BI91" s="168"/>
      <c r="BJ91" s="168"/>
      <c r="BK91" s="168"/>
      <c r="BL91" s="168"/>
      <c r="BM91" s="168"/>
      <c r="BN91" s="168"/>
      <c r="BO91" s="168"/>
      <c r="BP91" s="168"/>
      <c r="BQ91" s="168"/>
      <c r="BR91" s="168"/>
    </row>
    <row r="92" spans="1:70" s="152" customFormat="1" ht="15" thickBot="1" x14ac:dyDescent="0.4">
      <c r="A92" s="197"/>
      <c r="B92" s="216"/>
      <c r="C92" s="198"/>
      <c r="D92" s="198"/>
      <c r="E92" s="198"/>
      <c r="F92" s="198"/>
      <c r="G92" s="216"/>
      <c r="H92" s="198"/>
      <c r="I92" s="198"/>
      <c r="J92" s="198"/>
      <c r="K92" s="198"/>
      <c r="L92" s="198"/>
      <c r="M92" s="198"/>
      <c r="N92" s="198"/>
      <c r="O92" s="198"/>
      <c r="P92" s="159"/>
      <c r="Q92" s="168"/>
      <c r="R92" s="147"/>
      <c r="S92" s="168"/>
      <c r="T92" s="168"/>
      <c r="U92" s="168"/>
      <c r="V92" s="168"/>
      <c r="W92" s="168"/>
      <c r="X92" s="168"/>
      <c r="Y92" s="168"/>
      <c r="Z92" s="168"/>
      <c r="AA92" s="168"/>
      <c r="AB92" s="168"/>
      <c r="AC92" s="168"/>
      <c r="AD92" s="151"/>
      <c r="AE92" s="168"/>
      <c r="AF92" s="168"/>
      <c r="AG92" s="168"/>
      <c r="AH92" s="151"/>
      <c r="AI92" s="168"/>
      <c r="AJ92" s="168"/>
      <c r="AK92" s="168"/>
      <c r="AL92" s="168"/>
      <c r="AM92" s="168"/>
      <c r="AN92" s="168"/>
      <c r="AO92" s="168"/>
      <c r="AP92" s="168"/>
      <c r="AQ92" s="168"/>
      <c r="AR92" s="168"/>
      <c r="AS92" s="168"/>
      <c r="AT92" s="168"/>
      <c r="AU92" s="168"/>
      <c r="AV92" s="168"/>
      <c r="AW92" s="168"/>
      <c r="AX92" s="168"/>
      <c r="AY92" s="168"/>
      <c r="AZ92" s="168"/>
      <c r="BA92" s="168"/>
      <c r="BB92" s="168"/>
      <c r="BC92" s="168"/>
      <c r="BD92" s="168"/>
      <c r="BE92" s="168"/>
      <c r="BF92" s="168"/>
      <c r="BG92" s="168"/>
      <c r="BH92" s="168"/>
      <c r="BI92" s="168"/>
      <c r="BJ92" s="168"/>
      <c r="BK92" s="168"/>
      <c r="BL92" s="168"/>
      <c r="BM92" s="168"/>
      <c r="BN92" s="168"/>
      <c r="BO92" s="168"/>
      <c r="BP92" s="168"/>
      <c r="BQ92" s="168"/>
      <c r="BR92" s="168"/>
    </row>
    <row r="93" spans="1:70" s="152" customFormat="1" x14ac:dyDescent="0.35">
      <c r="A93" s="179"/>
      <c r="B93" s="212"/>
      <c r="C93" s="179"/>
      <c r="D93" s="179"/>
      <c r="E93" s="179"/>
      <c r="F93" s="179"/>
      <c r="G93" s="212"/>
      <c r="H93" s="179"/>
      <c r="I93" s="179"/>
      <c r="J93" s="179"/>
      <c r="K93" s="179"/>
      <c r="L93" s="179"/>
      <c r="M93" s="179"/>
      <c r="N93" s="179"/>
      <c r="O93" s="179"/>
      <c r="P93" s="159"/>
      <c r="Q93" s="168"/>
      <c r="R93" s="147"/>
      <c r="S93" s="168"/>
      <c r="T93" s="168"/>
      <c r="U93" s="168"/>
      <c r="V93" s="168"/>
      <c r="W93" s="168"/>
      <c r="X93" s="168"/>
      <c r="Y93" s="168"/>
      <c r="Z93" s="168"/>
      <c r="AA93" s="168"/>
      <c r="AB93" s="168"/>
      <c r="AC93" s="168"/>
      <c r="AD93" s="151"/>
      <c r="AE93" s="168"/>
      <c r="AF93" s="168"/>
      <c r="AG93" s="168"/>
      <c r="AH93" s="151"/>
      <c r="AI93" s="168"/>
      <c r="AJ93" s="168"/>
      <c r="AK93" s="168"/>
      <c r="AL93" s="168"/>
      <c r="AM93" s="168"/>
      <c r="AN93" s="168"/>
      <c r="AO93" s="168"/>
      <c r="AP93" s="168"/>
      <c r="AQ93" s="168"/>
      <c r="AR93" s="168"/>
      <c r="AS93" s="168"/>
      <c r="AT93" s="168"/>
      <c r="AU93" s="168"/>
      <c r="AV93" s="168"/>
      <c r="AW93" s="168"/>
      <c r="AX93" s="168"/>
      <c r="AY93" s="168"/>
      <c r="AZ93" s="168"/>
      <c r="BA93" s="168"/>
      <c r="BB93" s="168"/>
      <c r="BC93" s="168"/>
      <c r="BD93" s="168"/>
      <c r="BE93" s="168"/>
      <c r="BF93" s="168"/>
      <c r="BG93" s="168"/>
      <c r="BH93" s="168"/>
      <c r="BI93" s="168"/>
      <c r="BJ93" s="168"/>
      <c r="BK93" s="168"/>
      <c r="BL93" s="168"/>
      <c r="BM93" s="168"/>
      <c r="BN93" s="168"/>
      <c r="BO93" s="168"/>
      <c r="BP93" s="168"/>
      <c r="BQ93" s="168"/>
      <c r="BR93" s="168"/>
    </row>
    <row r="94" spans="1:70" s="152" customFormat="1" x14ac:dyDescent="0.35">
      <c r="A94" s="179"/>
      <c r="B94" s="212"/>
      <c r="C94" s="179"/>
      <c r="D94" s="179"/>
      <c r="E94" s="179"/>
      <c r="F94" s="179"/>
      <c r="G94" s="212"/>
      <c r="H94" s="179"/>
      <c r="I94" s="179"/>
      <c r="J94" s="179"/>
      <c r="K94" s="179"/>
      <c r="L94" s="179"/>
      <c r="M94" s="179"/>
      <c r="N94" s="179"/>
      <c r="O94" s="179"/>
      <c r="P94" s="160"/>
      <c r="Q94" s="168"/>
      <c r="R94" s="147"/>
      <c r="S94" s="168"/>
      <c r="T94" s="168"/>
      <c r="U94" s="168"/>
      <c r="V94" s="168"/>
      <c r="W94" s="168"/>
      <c r="X94" s="168"/>
      <c r="Y94" s="168"/>
      <c r="Z94" s="168"/>
      <c r="AA94" s="168"/>
      <c r="AB94" s="168"/>
      <c r="AC94" s="168"/>
      <c r="AD94" s="151"/>
      <c r="AE94" s="168"/>
      <c r="AF94" s="168"/>
      <c r="AG94" s="168"/>
      <c r="AH94" s="151"/>
      <c r="AI94" s="168"/>
      <c r="AJ94" s="168"/>
      <c r="AK94" s="168"/>
      <c r="AL94" s="168"/>
      <c r="AM94" s="168"/>
      <c r="AN94" s="168"/>
      <c r="AO94" s="168"/>
      <c r="AP94" s="168"/>
      <c r="AQ94" s="168"/>
      <c r="AR94" s="168"/>
      <c r="AS94" s="168"/>
      <c r="AT94" s="168"/>
      <c r="AU94" s="168"/>
      <c r="AV94" s="168"/>
      <c r="AW94" s="168"/>
      <c r="AX94" s="168"/>
      <c r="AY94" s="168"/>
      <c r="AZ94" s="168"/>
      <c r="BA94" s="168"/>
      <c r="BB94" s="168"/>
      <c r="BC94" s="168"/>
      <c r="BD94" s="168"/>
      <c r="BE94" s="168"/>
      <c r="BF94" s="168"/>
      <c r="BG94" s="168"/>
      <c r="BH94" s="168"/>
      <c r="BI94" s="168"/>
      <c r="BJ94" s="168"/>
      <c r="BK94" s="168"/>
      <c r="BL94" s="168"/>
      <c r="BM94" s="168"/>
      <c r="BN94" s="168"/>
      <c r="BO94" s="168"/>
      <c r="BP94" s="168"/>
      <c r="BQ94" s="168"/>
      <c r="BR94" s="168"/>
    </row>
    <row r="95" spans="1:70" s="152" customFormat="1" x14ac:dyDescent="0.35">
      <c r="A95" s="180" t="s">
        <v>0</v>
      </c>
      <c r="B95" s="209" t="s">
        <v>7</v>
      </c>
      <c r="C95" s="182" t="s">
        <v>8</v>
      </c>
      <c r="D95" s="182" t="s">
        <v>9</v>
      </c>
      <c r="E95" s="182" t="s">
        <v>10</v>
      </c>
      <c r="F95" s="182" t="s">
        <v>11</v>
      </c>
      <c r="G95" s="209" t="s">
        <v>12</v>
      </c>
      <c r="H95" s="182" t="s">
        <v>13</v>
      </c>
      <c r="I95" s="182" t="s">
        <v>14</v>
      </c>
      <c r="J95" s="182" t="s">
        <v>15</v>
      </c>
      <c r="K95" s="182" t="s">
        <v>16</v>
      </c>
      <c r="L95" s="183" t="s">
        <v>17</v>
      </c>
      <c r="M95" s="184" t="s">
        <v>23</v>
      </c>
      <c r="N95" s="184" t="s">
        <v>24</v>
      </c>
      <c r="O95" s="185" t="s">
        <v>18</v>
      </c>
      <c r="P95" s="159"/>
      <c r="Q95" s="168"/>
      <c r="R95" s="147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51"/>
      <c r="AE95" s="168"/>
      <c r="AF95" s="168"/>
      <c r="AG95" s="168"/>
      <c r="AH95" s="151"/>
      <c r="AI95" s="168"/>
      <c r="AJ95" s="168"/>
      <c r="AK95" s="168"/>
      <c r="AL95" s="168"/>
      <c r="AM95" s="168"/>
      <c r="AN95" s="168"/>
      <c r="AO95" s="168"/>
      <c r="AP95" s="168"/>
      <c r="AQ95" s="168"/>
      <c r="AR95" s="168"/>
      <c r="AS95" s="168"/>
      <c r="AT95" s="168"/>
      <c r="AU95" s="168"/>
      <c r="AV95" s="168"/>
      <c r="AW95" s="168"/>
      <c r="AX95" s="168"/>
      <c r="AY95" s="168"/>
      <c r="AZ95" s="168"/>
      <c r="BA95" s="168"/>
      <c r="BB95" s="168"/>
      <c r="BC95" s="168"/>
      <c r="BD95" s="168"/>
      <c r="BE95" s="168"/>
      <c r="BF95" s="168"/>
      <c r="BG95" s="168"/>
      <c r="BH95" s="168"/>
      <c r="BI95" s="168"/>
      <c r="BJ95" s="168"/>
      <c r="BK95" s="168"/>
      <c r="BL95" s="168"/>
      <c r="BM95" s="168"/>
      <c r="BN95" s="168"/>
      <c r="BO95" s="168"/>
      <c r="BP95" s="168"/>
      <c r="BQ95" s="168"/>
      <c r="BR95" s="168"/>
    </row>
    <row r="96" spans="1:70" s="152" customFormat="1" x14ac:dyDescent="0.35">
      <c r="A96" s="154" t="s">
        <v>32</v>
      </c>
      <c r="B96" s="217">
        <v>764</v>
      </c>
      <c r="C96" s="186">
        <v>764</v>
      </c>
      <c r="D96" s="186">
        <v>764</v>
      </c>
      <c r="E96" s="186">
        <v>764</v>
      </c>
      <c r="F96" s="186">
        <v>764</v>
      </c>
      <c r="G96" s="217">
        <v>764</v>
      </c>
      <c r="H96" s="186">
        <v>764</v>
      </c>
      <c r="I96" s="186">
        <v>764</v>
      </c>
      <c r="J96" s="186">
        <v>764</v>
      </c>
      <c r="K96" s="186">
        <v>764</v>
      </c>
      <c r="L96" s="186">
        <v>764</v>
      </c>
      <c r="M96" s="186">
        <v>764</v>
      </c>
      <c r="N96" s="186">
        <v>764</v>
      </c>
      <c r="O96" s="194">
        <f>SUM(B96:N96)</f>
        <v>9932</v>
      </c>
      <c r="P96" s="159"/>
      <c r="Q96" s="168"/>
      <c r="R96" s="147"/>
      <c r="S96" s="168"/>
      <c r="T96" s="168"/>
      <c r="U96" s="168"/>
      <c r="V96" s="168"/>
      <c r="W96" s="168"/>
      <c r="X96" s="168"/>
      <c r="Y96" s="168"/>
      <c r="Z96" s="168"/>
      <c r="AA96" s="168"/>
      <c r="AB96" s="168"/>
      <c r="AC96" s="168"/>
      <c r="AD96" s="151"/>
      <c r="AE96" s="168"/>
      <c r="AF96" s="168"/>
      <c r="AG96" s="168"/>
      <c r="AH96" s="151"/>
      <c r="AI96" s="168"/>
      <c r="AJ96" s="168"/>
      <c r="AK96" s="168"/>
      <c r="AL96" s="168"/>
      <c r="AM96" s="168"/>
      <c r="AN96" s="168"/>
      <c r="AO96" s="168"/>
      <c r="AP96" s="168"/>
      <c r="AQ96" s="168"/>
      <c r="AR96" s="168"/>
      <c r="AS96" s="168"/>
      <c r="AT96" s="168"/>
      <c r="AU96" s="168"/>
      <c r="AV96" s="168"/>
      <c r="AW96" s="168"/>
      <c r="AX96" s="168"/>
      <c r="AY96" s="168"/>
      <c r="AZ96" s="168"/>
      <c r="BA96" s="168"/>
      <c r="BB96" s="168"/>
      <c r="BC96" s="168"/>
      <c r="BD96" s="168"/>
      <c r="BE96" s="168"/>
      <c r="BF96" s="168"/>
      <c r="BG96" s="168"/>
      <c r="BH96" s="168"/>
      <c r="BI96" s="168"/>
      <c r="BJ96" s="168"/>
      <c r="BK96" s="168"/>
      <c r="BL96" s="168"/>
      <c r="BM96" s="168"/>
      <c r="BN96" s="168"/>
      <c r="BO96" s="168"/>
      <c r="BP96" s="168"/>
      <c r="BQ96" s="168"/>
      <c r="BR96" s="168"/>
    </row>
    <row r="97" spans="1:70" s="152" customFormat="1" x14ac:dyDescent="0.35">
      <c r="A97" s="187" t="s">
        <v>20</v>
      </c>
      <c r="B97" s="218">
        <f>'housing proportion projections'!I36</f>
        <v>181.25388923459863</v>
      </c>
      <c r="C97" s="186">
        <f>'housing proportion projections'!J36</f>
        <v>181.25388923459863</v>
      </c>
      <c r="D97" s="186">
        <f>'housing proportion projections'!K36</f>
        <v>181.25388923459863</v>
      </c>
      <c r="E97" s="186">
        <f>'housing proportion projections'!L36</f>
        <v>181.25388923459863</v>
      </c>
      <c r="F97" s="186">
        <f>'housing proportion projections'!M36</f>
        <v>181.25388923459863</v>
      </c>
      <c r="G97" s="218">
        <f>'housing proportion projections'!N36</f>
        <v>181.25388923459863</v>
      </c>
      <c r="H97" s="186">
        <f>'housing proportion projections'!O36</f>
        <v>181.25388923459863</v>
      </c>
      <c r="I97" s="186">
        <f>'housing proportion projections'!P36</f>
        <v>181.25388923459863</v>
      </c>
      <c r="J97" s="186">
        <f>'housing proportion projections'!Q36</f>
        <v>181.25388923459863</v>
      </c>
      <c r="K97" s="186">
        <f>'housing proportion projections'!R36</f>
        <v>181.25388923459863</v>
      </c>
      <c r="L97" s="186">
        <f>'housing proportion projections'!S36</f>
        <v>181.25388923459863</v>
      </c>
      <c r="M97" s="186">
        <f>'housing proportion projections'!T36</f>
        <v>181.25388923459863</v>
      </c>
      <c r="N97" s="186">
        <f>'housing proportion projections'!U36</f>
        <v>181.25388923459863</v>
      </c>
      <c r="O97" s="194">
        <f t="shared" ref="O97:O100" si="161">SUM(B97:N97)</f>
        <v>2356.3005600497818</v>
      </c>
      <c r="P97" s="159"/>
      <c r="Q97" s="168"/>
      <c r="R97" s="147"/>
      <c r="S97" s="168"/>
      <c r="T97" s="168"/>
      <c r="U97" s="168"/>
      <c r="V97" s="168"/>
      <c r="W97" s="168"/>
      <c r="X97" s="168"/>
      <c r="Y97" s="168"/>
      <c r="Z97" s="168"/>
      <c r="AA97" s="168"/>
      <c r="AB97" s="168"/>
      <c r="AC97" s="168"/>
      <c r="AD97" s="151"/>
      <c r="AE97" s="168"/>
      <c r="AF97" s="168"/>
      <c r="AG97" s="168"/>
      <c r="AH97" s="151"/>
      <c r="AI97" s="168"/>
      <c r="AJ97" s="168"/>
      <c r="AK97" s="168"/>
      <c r="AL97" s="168"/>
      <c r="AM97" s="168"/>
      <c r="AN97" s="168"/>
      <c r="AO97" s="168"/>
      <c r="AP97" s="168"/>
      <c r="AQ97" s="168"/>
      <c r="AR97" s="168"/>
      <c r="AS97" s="168"/>
      <c r="AT97" s="168"/>
      <c r="AU97" s="168"/>
      <c r="AV97" s="168"/>
      <c r="AW97" s="168"/>
      <c r="AX97" s="168"/>
      <c r="AY97" s="168"/>
      <c r="AZ97" s="168"/>
      <c r="BA97" s="168"/>
      <c r="BB97" s="168"/>
      <c r="BC97" s="168"/>
      <c r="BD97" s="168"/>
      <c r="BE97" s="168"/>
      <c r="BF97" s="168"/>
      <c r="BG97" s="168"/>
      <c r="BH97" s="168"/>
      <c r="BI97" s="168"/>
      <c r="BJ97" s="168"/>
      <c r="BK97" s="168"/>
      <c r="BL97" s="168"/>
      <c r="BM97" s="168"/>
      <c r="BN97" s="168"/>
      <c r="BO97" s="168"/>
      <c r="BP97" s="168"/>
      <c r="BQ97" s="168"/>
      <c r="BR97" s="168"/>
    </row>
    <row r="98" spans="1:70" s="158" customFormat="1" x14ac:dyDescent="0.35">
      <c r="A98" s="187" t="s">
        <v>21</v>
      </c>
      <c r="B98" s="218">
        <f>'housing proportion projections'!I37</f>
        <v>280.61667703795894</v>
      </c>
      <c r="C98" s="186">
        <f>'housing proportion projections'!J37</f>
        <v>280.61667703795894</v>
      </c>
      <c r="D98" s="186">
        <f>'housing proportion projections'!K37</f>
        <v>280.61667703795894</v>
      </c>
      <c r="E98" s="186">
        <f>'housing proportion projections'!L37</f>
        <v>280.61667703795894</v>
      </c>
      <c r="F98" s="186">
        <f>'housing proportion projections'!M37</f>
        <v>280.61667703795894</v>
      </c>
      <c r="G98" s="218">
        <f>'housing proportion projections'!N37</f>
        <v>280.61667703795894</v>
      </c>
      <c r="H98" s="186">
        <f>'housing proportion projections'!O37</f>
        <v>280.61667703795894</v>
      </c>
      <c r="I98" s="186">
        <f>'housing proportion projections'!P37</f>
        <v>280.61667703795894</v>
      </c>
      <c r="J98" s="186">
        <f>'housing proportion projections'!Q37</f>
        <v>280.61667703795894</v>
      </c>
      <c r="K98" s="186">
        <f>'housing proportion projections'!R37</f>
        <v>280.61667703795894</v>
      </c>
      <c r="L98" s="186">
        <f>'housing proportion projections'!S37</f>
        <v>280.61667703795894</v>
      </c>
      <c r="M98" s="186">
        <f>'housing proportion projections'!T37</f>
        <v>280.61667703795894</v>
      </c>
      <c r="N98" s="186">
        <f>'housing proportion projections'!U37</f>
        <v>280.61667703795894</v>
      </c>
      <c r="O98" s="194">
        <f t="shared" si="161"/>
        <v>3648.016801493467</v>
      </c>
      <c r="P98" s="167"/>
      <c r="Q98" s="168"/>
      <c r="R98" s="147"/>
      <c r="S98" s="168"/>
      <c r="T98" s="168"/>
      <c r="U98" s="168"/>
      <c r="V98" s="168"/>
      <c r="W98" s="168"/>
      <c r="X98" s="168"/>
      <c r="Y98" s="168"/>
      <c r="Z98" s="168"/>
      <c r="AA98" s="168"/>
      <c r="AB98" s="168"/>
      <c r="AC98" s="168"/>
      <c r="AD98" s="151"/>
      <c r="AE98" s="168"/>
      <c r="AF98" s="168"/>
      <c r="AG98" s="168"/>
      <c r="AH98" s="151"/>
      <c r="AI98" s="168"/>
      <c r="AJ98" s="168"/>
      <c r="AK98" s="168"/>
      <c r="AL98" s="168"/>
      <c r="AM98" s="168"/>
      <c r="AN98" s="168"/>
      <c r="AO98" s="168"/>
      <c r="AP98" s="168"/>
      <c r="AQ98" s="168"/>
      <c r="AR98" s="168"/>
      <c r="AS98" s="168"/>
      <c r="AT98" s="168"/>
      <c r="AU98" s="168"/>
      <c r="AV98" s="168"/>
      <c r="AW98" s="168"/>
      <c r="AX98" s="168"/>
      <c r="AY98" s="168"/>
      <c r="AZ98" s="168"/>
      <c r="BA98" s="168"/>
      <c r="BB98" s="168"/>
      <c r="BC98" s="168"/>
      <c r="BD98" s="168"/>
      <c r="BE98" s="168"/>
      <c r="BF98" s="168"/>
      <c r="BG98" s="168"/>
      <c r="BH98" s="168"/>
      <c r="BI98" s="168"/>
      <c r="BJ98" s="168"/>
      <c r="BK98" s="168"/>
      <c r="BL98" s="168"/>
      <c r="BM98" s="168"/>
      <c r="BN98" s="168"/>
      <c r="BO98" s="168"/>
      <c r="BP98" s="168"/>
      <c r="BQ98" s="168"/>
      <c r="BR98" s="168"/>
    </row>
    <row r="99" spans="1:70" s="152" customFormat="1" ht="15" thickBot="1" x14ac:dyDescent="0.4">
      <c r="A99" s="187" t="s">
        <v>26</v>
      </c>
      <c r="B99" s="218">
        <f>'housing proportion projections'!I38</f>
        <v>177.56938394523957</v>
      </c>
      <c r="C99" s="186">
        <f>'housing proportion projections'!J38</f>
        <v>177.56938394523957</v>
      </c>
      <c r="D99" s="186">
        <f>'housing proportion projections'!K38</f>
        <v>177.56938394523957</v>
      </c>
      <c r="E99" s="186">
        <f>'housing proportion projections'!L38</f>
        <v>177.56938394523957</v>
      </c>
      <c r="F99" s="186">
        <f>'housing proportion projections'!M38</f>
        <v>177.56938394523957</v>
      </c>
      <c r="G99" s="218">
        <f>'housing proportion projections'!N38</f>
        <v>177.56938394523957</v>
      </c>
      <c r="H99" s="186">
        <f>'housing proportion projections'!O38</f>
        <v>177.56938394523957</v>
      </c>
      <c r="I99" s="186">
        <f>'housing proportion projections'!P38</f>
        <v>177.56938394523957</v>
      </c>
      <c r="J99" s="186">
        <f>'housing proportion projections'!Q38</f>
        <v>177.56938394523957</v>
      </c>
      <c r="K99" s="186">
        <f>'housing proportion projections'!R38</f>
        <v>177.56938394523957</v>
      </c>
      <c r="L99" s="186">
        <f>'housing proportion projections'!S38</f>
        <v>177.56938394523957</v>
      </c>
      <c r="M99" s="186">
        <f>'housing proportion projections'!T38</f>
        <v>177.56938394523957</v>
      </c>
      <c r="N99" s="186">
        <f>'housing proportion projections'!U38</f>
        <v>177.56938394523957</v>
      </c>
      <c r="O99" s="194">
        <f t="shared" si="161"/>
        <v>2308.4019912881149</v>
      </c>
      <c r="P99" s="159"/>
      <c r="Q99" s="168"/>
      <c r="R99" s="147"/>
      <c r="S99" s="168"/>
      <c r="T99" s="168"/>
      <c r="U99" s="168"/>
      <c r="V99" s="168"/>
      <c r="W99" s="168"/>
      <c r="X99" s="168"/>
      <c r="Y99" s="168"/>
      <c r="Z99" s="168"/>
      <c r="AA99" s="168"/>
      <c r="AB99" s="168"/>
      <c r="AC99" s="168"/>
      <c r="AD99" s="151"/>
      <c r="AE99" s="168"/>
      <c r="AF99" s="168"/>
      <c r="AG99" s="168"/>
      <c r="AH99" s="151"/>
      <c r="AI99" s="168"/>
      <c r="AJ99" s="168"/>
      <c r="AK99" s="168"/>
      <c r="AL99" s="168"/>
      <c r="AM99" s="168"/>
      <c r="AN99" s="168"/>
      <c r="AO99" s="168"/>
      <c r="AP99" s="168"/>
      <c r="AQ99" s="168"/>
      <c r="AR99" s="168"/>
      <c r="AS99" s="168"/>
      <c r="AT99" s="168"/>
      <c r="AU99" s="168"/>
      <c r="AV99" s="168"/>
      <c r="AW99" s="168"/>
      <c r="AX99" s="168"/>
      <c r="AY99" s="168"/>
      <c r="AZ99" s="168"/>
      <c r="BA99" s="168"/>
      <c r="BB99" s="168"/>
      <c r="BC99" s="168"/>
      <c r="BD99" s="168"/>
      <c r="BE99" s="168"/>
      <c r="BF99" s="168"/>
      <c r="BG99" s="168"/>
      <c r="BH99" s="168"/>
      <c r="BI99" s="168"/>
      <c r="BJ99" s="168"/>
      <c r="BK99" s="168"/>
      <c r="BL99" s="168"/>
      <c r="BM99" s="168"/>
      <c r="BN99" s="168"/>
      <c r="BO99" s="168"/>
      <c r="BP99" s="168"/>
      <c r="BQ99" s="168"/>
      <c r="BR99" s="168"/>
    </row>
    <row r="100" spans="1:70" s="156" customFormat="1" x14ac:dyDescent="0.35">
      <c r="A100" s="190" t="s">
        <v>22</v>
      </c>
      <c r="B100" s="218">
        <f>'housing proportion projections'!I39</f>
        <v>124.56004978220285</v>
      </c>
      <c r="C100" s="186">
        <f>'housing proportion projections'!J39</f>
        <v>124.56004978220285</v>
      </c>
      <c r="D100" s="186">
        <f>'housing proportion projections'!K39</f>
        <v>124.56004978220285</v>
      </c>
      <c r="E100" s="186">
        <f>'housing proportion projections'!L39</f>
        <v>124.56004978220285</v>
      </c>
      <c r="F100" s="186">
        <f>'housing proportion projections'!M39</f>
        <v>124.56004978220285</v>
      </c>
      <c r="G100" s="218">
        <f>'housing proportion projections'!N39</f>
        <v>124.56004978220285</v>
      </c>
      <c r="H100" s="186">
        <f>'housing proportion projections'!O39</f>
        <v>124.56004978220285</v>
      </c>
      <c r="I100" s="186">
        <f>'housing proportion projections'!P39</f>
        <v>124.56004978220285</v>
      </c>
      <c r="J100" s="186">
        <f>'housing proportion projections'!Q39</f>
        <v>124.56004978220285</v>
      </c>
      <c r="K100" s="186">
        <f>'housing proportion projections'!R39</f>
        <v>124.56004978220285</v>
      </c>
      <c r="L100" s="186">
        <f>'housing proportion projections'!S39</f>
        <v>124.56004978220285</v>
      </c>
      <c r="M100" s="186">
        <f>'housing proportion projections'!T39</f>
        <v>124.56004978220285</v>
      </c>
      <c r="N100" s="186">
        <f>'housing proportion projections'!U39</f>
        <v>124.56004978220285</v>
      </c>
      <c r="O100" s="194">
        <f t="shared" si="161"/>
        <v>1619.2806471686374</v>
      </c>
      <c r="P100" s="161"/>
      <c r="Q100" s="168"/>
      <c r="R100" s="147"/>
      <c r="S100" s="168"/>
      <c r="T100" s="168"/>
      <c r="U100" s="168"/>
      <c r="V100" s="168"/>
      <c r="W100" s="168"/>
      <c r="X100" s="168"/>
      <c r="Y100" s="168"/>
      <c r="Z100" s="168"/>
      <c r="AA100" s="168"/>
      <c r="AB100" s="168"/>
      <c r="AC100" s="168"/>
      <c r="AD100" s="151"/>
      <c r="AE100" s="168"/>
      <c r="AF100" s="168"/>
      <c r="AG100" s="168"/>
      <c r="AH100" s="151"/>
      <c r="AI100" s="168"/>
      <c r="AJ100" s="168"/>
      <c r="AK100" s="168"/>
      <c r="AL100" s="168"/>
      <c r="AM100" s="168"/>
      <c r="AN100" s="168"/>
      <c r="AO100" s="168"/>
      <c r="AP100" s="168"/>
      <c r="AQ100" s="168"/>
      <c r="AR100" s="168"/>
      <c r="AS100" s="168"/>
      <c r="AT100" s="168"/>
      <c r="AU100" s="168"/>
      <c r="AV100" s="168"/>
      <c r="AW100" s="168"/>
      <c r="AX100" s="168"/>
      <c r="AY100" s="168"/>
      <c r="AZ100" s="168"/>
      <c r="BA100" s="168"/>
      <c r="BB100" s="168"/>
      <c r="BC100" s="168"/>
      <c r="BD100" s="168"/>
      <c r="BE100" s="168"/>
      <c r="BF100" s="168"/>
      <c r="BG100" s="168"/>
      <c r="BH100" s="168"/>
      <c r="BI100" s="168"/>
      <c r="BJ100" s="168"/>
      <c r="BK100" s="168"/>
      <c r="BL100" s="168"/>
      <c r="BM100" s="168"/>
      <c r="BN100" s="168"/>
      <c r="BO100" s="168"/>
      <c r="BP100" s="168"/>
      <c r="BQ100" s="168"/>
      <c r="BR100" s="168"/>
    </row>
    <row r="101" spans="1:70" s="155" customFormat="1" ht="15" thickBot="1" x14ac:dyDescent="0.4">
      <c r="A101" s="179"/>
      <c r="B101" s="212"/>
      <c r="C101" s="179"/>
      <c r="D101" s="179"/>
      <c r="E101" s="179"/>
      <c r="F101" s="179"/>
      <c r="G101" s="212"/>
      <c r="H101" s="179"/>
      <c r="I101" s="179"/>
      <c r="J101" s="179"/>
      <c r="K101" s="179"/>
      <c r="L101" s="179"/>
      <c r="M101" s="179"/>
      <c r="N101" s="179"/>
      <c r="O101" s="179"/>
      <c r="P101" s="162"/>
      <c r="Q101" s="168"/>
      <c r="R101" s="147"/>
      <c r="S101" s="168"/>
      <c r="T101" s="168"/>
      <c r="U101" s="168"/>
      <c r="V101" s="168"/>
      <c r="W101" s="168"/>
      <c r="X101" s="168"/>
      <c r="Y101" s="168"/>
      <c r="Z101" s="168"/>
      <c r="AA101" s="168"/>
      <c r="AB101" s="168"/>
      <c r="AC101" s="168"/>
      <c r="AD101" s="151"/>
      <c r="AE101" s="168"/>
      <c r="AF101" s="168"/>
      <c r="AG101" s="168"/>
      <c r="AH101" s="151"/>
      <c r="AI101" s="168"/>
      <c r="AJ101" s="168"/>
      <c r="AK101" s="168"/>
      <c r="AL101" s="168"/>
      <c r="AM101" s="168"/>
      <c r="AN101" s="168"/>
      <c r="AO101" s="168"/>
      <c r="AP101" s="168"/>
      <c r="AQ101" s="168"/>
      <c r="AR101" s="168"/>
      <c r="AS101" s="168"/>
      <c r="AT101" s="168"/>
      <c r="AU101" s="168"/>
      <c r="AV101" s="168"/>
      <c r="AW101" s="168"/>
      <c r="AX101" s="168"/>
      <c r="AY101" s="168"/>
      <c r="AZ101" s="168"/>
      <c r="BA101" s="168"/>
      <c r="BB101" s="168"/>
      <c r="BC101" s="168"/>
      <c r="BD101" s="168"/>
      <c r="BE101" s="168"/>
      <c r="BF101" s="168"/>
      <c r="BG101" s="168"/>
      <c r="BH101" s="168"/>
      <c r="BI101" s="168"/>
      <c r="BJ101" s="168"/>
      <c r="BK101" s="168"/>
      <c r="BL101" s="168"/>
      <c r="BM101" s="168"/>
      <c r="BN101" s="168"/>
      <c r="BO101" s="168"/>
      <c r="BP101" s="168"/>
      <c r="BQ101" s="168"/>
      <c r="BR101" s="168"/>
    </row>
    <row r="102" spans="1:70" s="155" customFormat="1" x14ac:dyDescent="0.35">
      <c r="A102" s="191" t="s">
        <v>134</v>
      </c>
      <c r="B102" s="213"/>
      <c r="C102" s="192"/>
      <c r="D102" s="192"/>
      <c r="E102" s="192"/>
      <c r="F102" s="192"/>
      <c r="G102" s="213"/>
      <c r="H102" s="192"/>
      <c r="I102" s="192"/>
      <c r="J102" s="192"/>
      <c r="K102" s="192"/>
      <c r="L102" s="192"/>
      <c r="M102" s="192"/>
      <c r="N102" s="192"/>
      <c r="O102" s="192"/>
      <c r="P102" s="163"/>
      <c r="Q102" s="168"/>
      <c r="R102" s="147"/>
      <c r="S102" s="168"/>
      <c r="T102" s="168"/>
      <c r="U102" s="168"/>
      <c r="V102" s="168"/>
      <c r="W102" s="168"/>
      <c r="X102" s="168"/>
      <c r="Y102" s="168"/>
      <c r="Z102" s="168"/>
      <c r="AA102" s="168"/>
      <c r="AB102" s="168"/>
      <c r="AC102" s="168"/>
      <c r="AD102" s="151"/>
      <c r="AE102" s="168"/>
      <c r="AF102" s="168"/>
      <c r="AG102" s="168"/>
      <c r="AH102" s="151"/>
      <c r="AI102" s="168"/>
      <c r="AJ102" s="168"/>
      <c r="AK102" s="168"/>
      <c r="AL102" s="168"/>
      <c r="AM102" s="168"/>
      <c r="AN102" s="168"/>
      <c r="AO102" s="168"/>
      <c r="AP102" s="168"/>
      <c r="AQ102" s="168"/>
      <c r="AR102" s="168"/>
      <c r="AS102" s="168"/>
      <c r="AT102" s="168"/>
      <c r="AU102" s="168"/>
      <c r="AV102" s="168"/>
      <c r="AW102" s="168"/>
      <c r="AX102" s="168"/>
      <c r="AY102" s="168"/>
      <c r="AZ102" s="168"/>
      <c r="BA102" s="168"/>
      <c r="BB102" s="168"/>
      <c r="BC102" s="168"/>
      <c r="BD102" s="168"/>
      <c r="BE102" s="168"/>
      <c r="BF102" s="168"/>
      <c r="BG102" s="168"/>
      <c r="BH102" s="168"/>
      <c r="BI102" s="168"/>
      <c r="BJ102" s="168"/>
      <c r="BK102" s="168"/>
      <c r="BL102" s="168"/>
      <c r="BM102" s="168"/>
      <c r="BN102" s="168"/>
      <c r="BO102" s="168"/>
      <c r="BP102" s="168"/>
      <c r="BQ102" s="168"/>
      <c r="BR102" s="168"/>
    </row>
    <row r="103" spans="1:70" s="155" customFormat="1" x14ac:dyDescent="0.35">
      <c r="A103" s="193" t="s">
        <v>112</v>
      </c>
      <c r="B103" s="214">
        <f>((B97*$AE$28)+(B98*$AE$29)+(B99*$AE$30)+(B100*$AE$31))*30</f>
        <v>6107872.7337098196</v>
      </c>
      <c r="C103" s="214">
        <f t="shared" ref="C103:F103" si="162">((C97*$AE$28)+(C98*$AE$29)+(C99*$AE$30)+(C100*$AE$31))*30</f>
        <v>6107872.7337098196</v>
      </c>
      <c r="D103" s="214">
        <f t="shared" si="162"/>
        <v>6107872.7337098196</v>
      </c>
      <c r="E103" s="214">
        <f t="shared" si="162"/>
        <v>6107872.7337098196</v>
      </c>
      <c r="F103" s="214">
        <f t="shared" si="162"/>
        <v>6107872.7337098196</v>
      </c>
      <c r="G103" s="214">
        <f>((G97*$AI$28)+(G98*$AI$29)+(G99*$AI$30)+(G100*$AI$31))*30</f>
        <v>6035922.482611944</v>
      </c>
      <c r="H103" s="214">
        <f t="shared" ref="H103:N103" si="163">((H97*$AI$28)+(H98*$AI$29)+(H99*$AI$30)+(H100*$AI$31))*30</f>
        <v>6035922.482611944</v>
      </c>
      <c r="I103" s="214">
        <f t="shared" si="163"/>
        <v>6035922.482611944</v>
      </c>
      <c r="J103" s="214">
        <f t="shared" si="163"/>
        <v>6035922.482611944</v>
      </c>
      <c r="K103" s="214">
        <f t="shared" si="163"/>
        <v>6035922.482611944</v>
      </c>
      <c r="L103" s="214">
        <f t="shared" si="163"/>
        <v>6035922.482611944</v>
      </c>
      <c r="M103" s="214">
        <f t="shared" si="163"/>
        <v>6035922.482611944</v>
      </c>
      <c r="N103" s="214">
        <f t="shared" si="163"/>
        <v>6035922.482611944</v>
      </c>
      <c r="O103" s="214">
        <f>SUM(B103:N103)</f>
        <v>78826743.529444665</v>
      </c>
      <c r="P103" s="162"/>
      <c r="Q103" s="168"/>
      <c r="R103" s="147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51"/>
      <c r="AE103" s="168"/>
      <c r="AF103" s="168"/>
      <c r="AG103" s="168"/>
      <c r="AH103" s="151"/>
      <c r="AI103" s="168"/>
      <c r="AJ103" s="168"/>
      <c r="AK103" s="168"/>
      <c r="AL103" s="168"/>
      <c r="AM103" s="168"/>
      <c r="AN103" s="168"/>
      <c r="AO103" s="168"/>
      <c r="AP103" s="168"/>
      <c r="AQ103" s="168"/>
      <c r="AR103" s="168"/>
      <c r="AS103" s="168"/>
      <c r="AT103" s="168"/>
      <c r="AU103" s="168"/>
      <c r="AV103" s="168"/>
      <c r="AW103" s="168"/>
      <c r="AX103" s="168"/>
      <c r="AY103" s="168"/>
      <c r="AZ103" s="168"/>
      <c r="BA103" s="168"/>
      <c r="BB103" s="168"/>
      <c r="BC103" s="168"/>
      <c r="BD103" s="168"/>
      <c r="BE103" s="168"/>
      <c r="BF103" s="168"/>
      <c r="BG103" s="168"/>
      <c r="BH103" s="168"/>
      <c r="BI103" s="168"/>
      <c r="BJ103" s="168"/>
      <c r="BK103" s="168"/>
      <c r="BL103" s="168"/>
      <c r="BM103" s="168"/>
      <c r="BN103" s="168"/>
      <c r="BO103" s="168"/>
      <c r="BP103" s="168"/>
      <c r="BQ103" s="168"/>
      <c r="BR103" s="168"/>
    </row>
    <row r="104" spans="1:70" s="155" customFormat="1" x14ac:dyDescent="0.35">
      <c r="A104" s="193" t="s">
        <v>113</v>
      </c>
      <c r="B104" s="214">
        <f t="shared" ref="B104" si="164">B103/1000</f>
        <v>6107.8727337098198</v>
      </c>
      <c r="C104" s="214">
        <f t="shared" ref="C104" si="165">C103/1000</f>
        <v>6107.8727337098198</v>
      </c>
      <c r="D104" s="214">
        <f t="shared" ref="D104" si="166">D103/1000</f>
        <v>6107.8727337098198</v>
      </c>
      <c r="E104" s="214">
        <f t="shared" ref="E104" si="167">E103/1000</f>
        <v>6107.8727337098198</v>
      </c>
      <c r="F104" s="214">
        <f t="shared" ref="F104" si="168">F103/1000</f>
        <v>6107.8727337098198</v>
      </c>
      <c r="G104" s="214">
        <f t="shared" ref="G104" si="169">G103/1000</f>
        <v>6035.9224826119444</v>
      </c>
      <c r="H104" s="214">
        <f t="shared" ref="H104" si="170">H103/1000</f>
        <v>6035.9224826119444</v>
      </c>
      <c r="I104" s="214">
        <f t="shared" ref="I104" si="171">I103/1000</f>
        <v>6035.9224826119444</v>
      </c>
      <c r="J104" s="214">
        <f t="shared" ref="J104" si="172">J103/1000</f>
        <v>6035.9224826119444</v>
      </c>
      <c r="K104" s="214">
        <f t="shared" ref="K104" si="173">K103/1000</f>
        <v>6035.9224826119444</v>
      </c>
      <c r="L104" s="214">
        <f t="shared" ref="L104" si="174">L103/1000</f>
        <v>6035.9224826119444</v>
      </c>
      <c r="M104" s="214">
        <f t="shared" ref="M104" si="175">M103/1000</f>
        <v>6035.9224826119444</v>
      </c>
      <c r="N104" s="214">
        <f t="shared" ref="N104" si="176">N103/1000</f>
        <v>6035.9224826119444</v>
      </c>
      <c r="O104" s="214">
        <f t="shared" ref="O104" si="177">O103/1000</f>
        <v>78826.743529444662</v>
      </c>
      <c r="P104" s="162"/>
      <c r="Q104" s="168"/>
      <c r="R104" s="147"/>
      <c r="S104" s="168"/>
      <c r="T104" s="168"/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51"/>
      <c r="AE104" s="168"/>
      <c r="AF104" s="168"/>
      <c r="AG104" s="168"/>
      <c r="AH104" s="151"/>
      <c r="AI104" s="168"/>
      <c r="AJ104" s="168"/>
      <c r="AK104" s="168"/>
      <c r="AL104" s="168"/>
      <c r="AM104" s="168"/>
      <c r="AN104" s="168"/>
      <c r="AO104" s="168"/>
      <c r="AP104" s="168"/>
      <c r="AQ104" s="168"/>
      <c r="AR104" s="168"/>
      <c r="AS104" s="168"/>
      <c r="AT104" s="168"/>
      <c r="AU104" s="168"/>
      <c r="AV104" s="168"/>
      <c r="AW104" s="168"/>
      <c r="AX104" s="168"/>
      <c r="AY104" s="168"/>
      <c r="AZ104" s="168"/>
      <c r="BA104" s="168"/>
      <c r="BB104" s="168"/>
      <c r="BC104" s="168"/>
      <c r="BD104" s="168"/>
      <c r="BE104" s="168"/>
      <c r="BF104" s="168"/>
      <c r="BG104" s="168"/>
      <c r="BH104" s="168"/>
      <c r="BI104" s="168"/>
      <c r="BJ104" s="168"/>
      <c r="BK104" s="168"/>
      <c r="BL104" s="168"/>
      <c r="BM104" s="168"/>
      <c r="BN104" s="168"/>
      <c r="BO104" s="168"/>
      <c r="BP104" s="168"/>
      <c r="BQ104" s="168"/>
      <c r="BR104" s="168"/>
    </row>
    <row r="105" spans="1:70" s="157" customFormat="1" ht="15" thickBot="1" x14ac:dyDescent="0.4">
      <c r="A105" s="193" t="s">
        <v>64</v>
      </c>
      <c r="B105" s="215">
        <f t="shared" ref="B105" si="178">B104*$AB$2</f>
        <v>1221574.5467419641</v>
      </c>
      <c r="C105" s="215">
        <f t="shared" ref="C105" si="179">C104*$AB$2</f>
        <v>1221574.5467419641</v>
      </c>
      <c r="D105" s="215">
        <f t="shared" ref="D105" si="180">D104*$AB$2</f>
        <v>1221574.5467419641</v>
      </c>
      <c r="E105" s="215">
        <f t="shared" ref="E105" si="181">E104*$AB$2</f>
        <v>1221574.5467419641</v>
      </c>
      <c r="F105" s="215">
        <f t="shared" ref="F105" si="182">F104*$AB$2</f>
        <v>1221574.5467419641</v>
      </c>
      <c r="G105" s="215">
        <f t="shared" ref="G105" si="183">G104*$AB$2</f>
        <v>1207184.4965223889</v>
      </c>
      <c r="H105" s="215">
        <f t="shared" ref="H105" si="184">H104*$AB$2</f>
        <v>1207184.4965223889</v>
      </c>
      <c r="I105" s="215">
        <f t="shared" ref="I105" si="185">I104*$AB$2</f>
        <v>1207184.4965223889</v>
      </c>
      <c r="J105" s="215">
        <f t="shared" ref="J105" si="186">J104*$AB$2</f>
        <v>1207184.4965223889</v>
      </c>
      <c r="K105" s="215">
        <f t="shared" ref="K105" si="187">K104*$AB$2</f>
        <v>1207184.4965223889</v>
      </c>
      <c r="L105" s="215">
        <f t="shared" ref="L105" si="188">L104*$AB$2</f>
        <v>1207184.4965223889</v>
      </c>
      <c r="M105" s="215">
        <f t="shared" ref="M105" si="189">M104*$AB$2</f>
        <v>1207184.4965223889</v>
      </c>
      <c r="N105" s="215">
        <f t="shared" ref="N105" si="190">N104*$AB$2</f>
        <v>1207184.4965223889</v>
      </c>
      <c r="O105" s="215">
        <f t="shared" ref="O105" si="191">O104*$AB$2</f>
        <v>15765348.705888933</v>
      </c>
      <c r="P105" s="164"/>
      <c r="Q105" s="168"/>
      <c r="R105" s="147"/>
      <c r="S105" s="168"/>
      <c r="T105" s="168"/>
      <c r="U105" s="168"/>
      <c r="V105" s="168"/>
      <c r="W105" s="168"/>
      <c r="X105" s="168"/>
      <c r="Y105" s="168"/>
      <c r="Z105" s="168"/>
      <c r="AA105" s="168"/>
      <c r="AB105" s="168"/>
      <c r="AC105" s="168"/>
      <c r="AD105" s="151"/>
      <c r="AE105" s="168"/>
      <c r="AF105" s="168"/>
      <c r="AG105" s="168"/>
      <c r="AH105" s="151"/>
      <c r="AI105" s="168"/>
      <c r="AJ105" s="168"/>
      <c r="AK105" s="168"/>
      <c r="AL105" s="168"/>
      <c r="AM105" s="168"/>
      <c r="AN105" s="168"/>
      <c r="AO105" s="168"/>
      <c r="AP105" s="168"/>
      <c r="AQ105" s="168"/>
      <c r="AR105" s="168"/>
      <c r="AS105" s="168"/>
      <c r="AT105" s="168"/>
      <c r="AU105" s="168"/>
      <c r="AV105" s="168"/>
      <c r="AW105" s="168"/>
      <c r="AX105" s="168"/>
      <c r="AY105" s="168"/>
      <c r="AZ105" s="168"/>
      <c r="BA105" s="168"/>
      <c r="BB105" s="168"/>
      <c r="BC105" s="168"/>
      <c r="BD105" s="168"/>
      <c r="BE105" s="168"/>
      <c r="BF105" s="168"/>
      <c r="BG105" s="168"/>
      <c r="BH105" s="168"/>
      <c r="BI105" s="168"/>
      <c r="BJ105" s="168"/>
      <c r="BK105" s="168"/>
      <c r="BL105" s="168"/>
      <c r="BM105" s="168"/>
      <c r="BN105" s="168"/>
      <c r="BO105" s="168"/>
      <c r="BP105" s="168"/>
      <c r="BQ105" s="168"/>
      <c r="BR105" s="168"/>
    </row>
    <row r="106" spans="1:70" s="152" customFormat="1" x14ac:dyDescent="0.35">
      <c r="A106" s="193"/>
      <c r="B106" s="214"/>
      <c r="C106" s="194"/>
      <c r="D106" s="194"/>
      <c r="E106" s="194"/>
      <c r="F106" s="194"/>
      <c r="G106" s="214"/>
      <c r="H106" s="194"/>
      <c r="I106" s="194"/>
      <c r="J106" s="194"/>
      <c r="K106" s="194"/>
      <c r="L106" s="194"/>
      <c r="M106" s="194"/>
      <c r="N106" s="194"/>
      <c r="O106" s="194"/>
      <c r="P106" s="159"/>
      <c r="Q106" s="168"/>
      <c r="R106" s="147"/>
      <c r="S106" s="168"/>
      <c r="T106" s="168"/>
      <c r="U106" s="168"/>
      <c r="V106" s="168"/>
      <c r="W106" s="168"/>
      <c r="X106" s="168"/>
      <c r="Y106" s="168"/>
      <c r="Z106" s="168"/>
      <c r="AA106" s="168"/>
      <c r="AB106" s="168"/>
      <c r="AC106" s="168"/>
      <c r="AD106" s="151"/>
      <c r="AE106" s="168"/>
      <c r="AF106" s="168"/>
      <c r="AG106" s="168"/>
      <c r="AH106" s="151"/>
      <c r="AI106" s="168"/>
      <c r="AJ106" s="168"/>
      <c r="AK106" s="168"/>
      <c r="AL106" s="168"/>
      <c r="AM106" s="168"/>
      <c r="AN106" s="168"/>
      <c r="AO106" s="168"/>
      <c r="AP106" s="168"/>
      <c r="AQ106" s="168"/>
      <c r="AR106" s="168"/>
      <c r="AS106" s="168"/>
      <c r="AT106" s="168"/>
      <c r="AU106" s="168"/>
      <c r="AV106" s="168"/>
      <c r="AW106" s="168"/>
      <c r="AX106" s="168"/>
      <c r="AY106" s="168"/>
      <c r="AZ106" s="168"/>
      <c r="BA106" s="168"/>
      <c r="BB106" s="168"/>
      <c r="BC106" s="168"/>
      <c r="BD106" s="168"/>
      <c r="BE106" s="168"/>
      <c r="BF106" s="168"/>
      <c r="BG106" s="168"/>
      <c r="BH106" s="168"/>
      <c r="BI106" s="168"/>
      <c r="BJ106" s="168"/>
      <c r="BK106" s="168"/>
      <c r="BL106" s="168"/>
      <c r="BM106" s="168"/>
      <c r="BN106" s="168"/>
      <c r="BO106" s="168"/>
      <c r="BP106" s="168"/>
      <c r="BQ106" s="168"/>
      <c r="BR106" s="168"/>
    </row>
    <row r="107" spans="1:70" s="152" customFormat="1" ht="15" thickBot="1" x14ac:dyDescent="0.4">
      <c r="A107" s="197"/>
      <c r="B107" s="216"/>
      <c r="C107" s="198"/>
      <c r="D107" s="198"/>
      <c r="E107" s="198"/>
      <c r="F107" s="198"/>
      <c r="G107" s="216"/>
      <c r="H107" s="198"/>
      <c r="I107" s="198"/>
      <c r="J107" s="198"/>
      <c r="K107" s="198"/>
      <c r="L107" s="198"/>
      <c r="M107" s="198"/>
      <c r="N107" s="198"/>
      <c r="O107" s="198"/>
      <c r="P107" s="159"/>
      <c r="Q107" s="168"/>
      <c r="R107" s="147"/>
      <c r="S107" s="168"/>
      <c r="T107" s="168"/>
      <c r="U107" s="168"/>
      <c r="V107" s="168"/>
      <c r="W107" s="168"/>
      <c r="X107" s="168"/>
      <c r="Y107" s="168"/>
      <c r="Z107" s="168"/>
      <c r="AA107" s="168"/>
      <c r="AB107" s="168"/>
      <c r="AC107" s="168"/>
      <c r="AD107" s="151"/>
      <c r="AE107" s="168"/>
      <c r="AF107" s="168"/>
      <c r="AG107" s="168"/>
      <c r="AH107" s="151"/>
      <c r="AI107" s="168"/>
      <c r="AJ107" s="168"/>
      <c r="AK107" s="168"/>
      <c r="AL107" s="168"/>
      <c r="AM107" s="168"/>
      <c r="AN107" s="168"/>
      <c r="AO107" s="168"/>
      <c r="AP107" s="168"/>
      <c r="AQ107" s="168"/>
      <c r="AR107" s="168"/>
      <c r="AS107" s="168"/>
      <c r="AT107" s="168"/>
      <c r="AU107" s="168"/>
      <c r="AV107" s="168"/>
      <c r="AW107" s="168"/>
      <c r="AX107" s="168"/>
      <c r="AY107" s="168"/>
      <c r="AZ107" s="168"/>
      <c r="BA107" s="168"/>
      <c r="BB107" s="168"/>
      <c r="BC107" s="168"/>
      <c r="BD107" s="168"/>
      <c r="BE107" s="168"/>
      <c r="BF107" s="168"/>
      <c r="BG107" s="168"/>
      <c r="BH107" s="168"/>
      <c r="BI107" s="168"/>
      <c r="BJ107" s="168"/>
      <c r="BK107" s="168"/>
      <c r="BL107" s="168"/>
      <c r="BM107" s="168"/>
      <c r="BN107" s="168"/>
      <c r="BO107" s="168"/>
      <c r="BP107" s="168"/>
      <c r="BQ107" s="168"/>
      <c r="BR107" s="168"/>
    </row>
    <row r="108" spans="1:70" s="152" customFormat="1" x14ac:dyDescent="0.35">
      <c r="A108" s="179"/>
      <c r="B108" s="212"/>
      <c r="C108" s="179"/>
      <c r="D108" s="179"/>
      <c r="E108" s="179"/>
      <c r="F108" s="179"/>
      <c r="G108" s="212"/>
      <c r="H108" s="179"/>
      <c r="I108" s="179"/>
      <c r="J108" s="179"/>
      <c r="K108" s="179"/>
      <c r="L108" s="179"/>
      <c r="M108" s="179"/>
      <c r="N108" s="179"/>
      <c r="O108" s="179"/>
      <c r="P108" s="159"/>
      <c r="Q108" s="168"/>
      <c r="R108" s="147"/>
      <c r="S108" s="168"/>
      <c r="T108" s="168"/>
      <c r="U108" s="168"/>
      <c r="V108" s="168"/>
      <c r="W108" s="168"/>
      <c r="X108" s="168"/>
      <c r="Y108" s="168"/>
      <c r="Z108" s="168"/>
      <c r="AA108" s="168"/>
      <c r="AB108" s="168"/>
      <c r="AC108" s="168"/>
      <c r="AD108" s="151"/>
      <c r="AE108" s="168"/>
      <c r="AF108" s="168"/>
      <c r="AG108" s="168"/>
      <c r="AH108" s="151"/>
      <c r="AI108" s="168"/>
      <c r="AJ108" s="168"/>
      <c r="AK108" s="168"/>
      <c r="AL108" s="168"/>
      <c r="AM108" s="168"/>
      <c r="AN108" s="168"/>
      <c r="AO108" s="168"/>
      <c r="AP108" s="168"/>
      <c r="AQ108" s="168"/>
      <c r="AR108" s="168"/>
      <c r="AS108" s="168"/>
      <c r="AT108" s="168"/>
      <c r="AU108" s="168"/>
      <c r="AV108" s="168"/>
      <c r="AW108" s="168"/>
      <c r="AX108" s="168"/>
      <c r="AY108" s="168"/>
      <c r="AZ108" s="168"/>
      <c r="BA108" s="168"/>
      <c r="BB108" s="168"/>
      <c r="BC108" s="168"/>
      <c r="BD108" s="168"/>
      <c r="BE108" s="168"/>
      <c r="BF108" s="168"/>
      <c r="BG108" s="168"/>
      <c r="BH108" s="168"/>
      <c r="BI108" s="168"/>
      <c r="BJ108" s="168"/>
      <c r="BK108" s="168"/>
      <c r="BL108" s="168"/>
      <c r="BM108" s="168"/>
      <c r="BN108" s="168"/>
      <c r="BO108" s="168"/>
      <c r="BP108" s="168"/>
      <c r="BQ108" s="168"/>
      <c r="BR108" s="168"/>
    </row>
    <row r="109" spans="1:70" s="152" customFormat="1" x14ac:dyDescent="0.35">
      <c r="A109" s="179"/>
      <c r="B109" s="212"/>
      <c r="C109" s="179"/>
      <c r="D109" s="179"/>
      <c r="E109" s="179"/>
      <c r="F109" s="179"/>
      <c r="G109" s="212"/>
      <c r="H109" s="179"/>
      <c r="I109" s="179"/>
      <c r="J109" s="179"/>
      <c r="K109" s="179"/>
      <c r="L109" s="179"/>
      <c r="M109" s="179"/>
      <c r="N109" s="179"/>
      <c r="O109" s="179"/>
      <c r="P109" s="160"/>
      <c r="Q109" s="168"/>
      <c r="R109" s="147"/>
      <c r="S109" s="168"/>
      <c r="T109" s="168"/>
      <c r="U109" s="168"/>
      <c r="V109" s="168"/>
      <c r="W109" s="168"/>
      <c r="X109" s="168"/>
      <c r="Y109" s="168"/>
      <c r="Z109" s="168"/>
      <c r="AA109" s="168"/>
      <c r="AB109" s="168"/>
      <c r="AC109" s="168"/>
      <c r="AD109" s="151"/>
      <c r="AE109" s="168"/>
      <c r="AF109" s="168"/>
      <c r="AG109" s="168"/>
      <c r="AH109" s="151"/>
      <c r="AI109" s="168"/>
      <c r="AJ109" s="168"/>
      <c r="AK109" s="168"/>
      <c r="AL109" s="168"/>
      <c r="AM109" s="168"/>
      <c r="AN109" s="168"/>
      <c r="AO109" s="168"/>
      <c r="AP109" s="168"/>
      <c r="AQ109" s="168"/>
      <c r="AR109" s="168"/>
      <c r="AS109" s="168"/>
      <c r="AT109" s="168"/>
      <c r="AU109" s="168"/>
      <c r="AV109" s="168"/>
      <c r="AW109" s="168"/>
      <c r="AX109" s="168"/>
      <c r="AY109" s="168"/>
      <c r="AZ109" s="168"/>
      <c r="BA109" s="168"/>
      <c r="BB109" s="168"/>
      <c r="BC109" s="168"/>
      <c r="BD109" s="168"/>
      <c r="BE109" s="168"/>
      <c r="BF109" s="168"/>
      <c r="BG109" s="168"/>
      <c r="BH109" s="168"/>
      <c r="BI109" s="168"/>
      <c r="BJ109" s="168"/>
      <c r="BK109" s="168"/>
      <c r="BL109" s="168"/>
      <c r="BM109" s="168"/>
      <c r="BN109" s="168"/>
      <c r="BO109" s="168"/>
      <c r="BP109" s="168"/>
      <c r="BQ109" s="168"/>
      <c r="BR109" s="168"/>
    </row>
    <row r="110" spans="1:70" s="152" customFormat="1" x14ac:dyDescent="0.35">
      <c r="A110" s="180" t="s">
        <v>0</v>
      </c>
      <c r="B110" s="209" t="s">
        <v>7</v>
      </c>
      <c r="C110" s="182" t="s">
        <v>8</v>
      </c>
      <c r="D110" s="182" t="s">
        <v>9</v>
      </c>
      <c r="E110" s="182" t="s">
        <v>10</v>
      </c>
      <c r="F110" s="182" t="s">
        <v>11</v>
      </c>
      <c r="G110" s="209" t="s">
        <v>12</v>
      </c>
      <c r="H110" s="182" t="s">
        <v>13</v>
      </c>
      <c r="I110" s="182" t="s">
        <v>14</v>
      </c>
      <c r="J110" s="182" t="s">
        <v>15</v>
      </c>
      <c r="K110" s="182" t="s">
        <v>16</v>
      </c>
      <c r="L110" s="183" t="s">
        <v>17</v>
      </c>
      <c r="M110" s="184" t="s">
        <v>23</v>
      </c>
      <c r="N110" s="184" t="s">
        <v>24</v>
      </c>
      <c r="O110" s="185" t="s">
        <v>18</v>
      </c>
      <c r="P110" s="159"/>
      <c r="Q110" s="168"/>
      <c r="R110" s="147"/>
      <c r="S110" s="168"/>
      <c r="T110" s="168"/>
      <c r="U110" s="168"/>
      <c r="V110" s="168"/>
      <c r="W110" s="168"/>
      <c r="X110" s="168"/>
      <c r="Y110" s="168"/>
      <c r="Z110" s="168"/>
      <c r="AA110" s="168"/>
      <c r="AB110" s="168"/>
      <c r="AC110" s="168"/>
      <c r="AD110" s="151"/>
      <c r="AE110" s="168"/>
      <c r="AF110" s="168"/>
      <c r="AG110" s="168"/>
      <c r="AH110" s="151"/>
      <c r="AI110" s="168"/>
      <c r="AJ110" s="168"/>
      <c r="AK110" s="168"/>
      <c r="AL110" s="168"/>
      <c r="AM110" s="168"/>
      <c r="AN110" s="168"/>
      <c r="AO110" s="168"/>
      <c r="AP110" s="168"/>
      <c r="AQ110" s="168"/>
      <c r="AR110" s="168"/>
      <c r="AS110" s="168"/>
      <c r="AT110" s="168"/>
      <c r="AU110" s="168"/>
      <c r="AV110" s="168"/>
      <c r="AW110" s="168"/>
      <c r="AX110" s="168"/>
      <c r="AY110" s="168"/>
      <c r="AZ110" s="168"/>
      <c r="BA110" s="168"/>
      <c r="BB110" s="168"/>
      <c r="BC110" s="168"/>
      <c r="BD110" s="168"/>
      <c r="BE110" s="168"/>
      <c r="BF110" s="168"/>
      <c r="BG110" s="168"/>
      <c r="BH110" s="168"/>
      <c r="BI110" s="168"/>
      <c r="BJ110" s="168"/>
      <c r="BK110" s="168"/>
      <c r="BL110" s="168"/>
      <c r="BM110" s="168"/>
      <c r="BN110" s="168"/>
      <c r="BO110" s="168"/>
      <c r="BP110" s="168"/>
      <c r="BQ110" s="168"/>
      <c r="BR110" s="168"/>
    </row>
    <row r="111" spans="1:70" s="152" customFormat="1" x14ac:dyDescent="0.35">
      <c r="A111" s="154" t="s">
        <v>33</v>
      </c>
      <c r="B111" s="217">
        <v>466</v>
      </c>
      <c r="C111" s="186">
        <v>466</v>
      </c>
      <c r="D111" s="186">
        <v>466</v>
      </c>
      <c r="E111" s="186">
        <v>466</v>
      </c>
      <c r="F111" s="186">
        <v>466</v>
      </c>
      <c r="G111" s="217">
        <v>466</v>
      </c>
      <c r="H111" s="186">
        <v>466</v>
      </c>
      <c r="I111" s="186">
        <v>466</v>
      </c>
      <c r="J111" s="186">
        <v>466</v>
      </c>
      <c r="K111" s="186">
        <v>466</v>
      </c>
      <c r="L111" s="186">
        <v>466</v>
      </c>
      <c r="M111" s="186">
        <v>466</v>
      </c>
      <c r="N111" s="186">
        <v>466</v>
      </c>
      <c r="O111" s="194">
        <f>SUM(B111:N111)</f>
        <v>6058</v>
      </c>
      <c r="P111" s="159"/>
      <c r="Q111" s="168"/>
      <c r="R111" s="147"/>
      <c r="S111" s="168"/>
      <c r="T111" s="168"/>
      <c r="U111" s="168"/>
      <c r="V111" s="168"/>
      <c r="W111" s="168"/>
      <c r="X111" s="168"/>
      <c r="Y111" s="168"/>
      <c r="Z111" s="168"/>
      <c r="AA111" s="168"/>
      <c r="AB111" s="168"/>
      <c r="AC111" s="168"/>
      <c r="AD111" s="151"/>
      <c r="AE111" s="168"/>
      <c r="AF111" s="168"/>
      <c r="AG111" s="168"/>
      <c r="AH111" s="151"/>
      <c r="AI111" s="168"/>
      <c r="AJ111" s="168"/>
      <c r="AK111" s="168"/>
      <c r="AL111" s="168"/>
      <c r="AM111" s="168"/>
      <c r="AN111" s="168"/>
      <c r="AO111" s="168"/>
      <c r="AP111" s="168"/>
      <c r="AQ111" s="168"/>
      <c r="AR111" s="168"/>
      <c r="AS111" s="168"/>
      <c r="AT111" s="168"/>
      <c r="AU111" s="168"/>
      <c r="AV111" s="168"/>
      <c r="AW111" s="168"/>
      <c r="AX111" s="168"/>
      <c r="AY111" s="168"/>
      <c r="AZ111" s="168"/>
      <c r="BA111" s="168"/>
      <c r="BB111" s="168"/>
      <c r="BC111" s="168"/>
      <c r="BD111" s="168"/>
      <c r="BE111" s="168"/>
      <c r="BF111" s="168"/>
      <c r="BG111" s="168"/>
      <c r="BH111" s="168"/>
      <c r="BI111" s="168"/>
      <c r="BJ111" s="168"/>
      <c r="BK111" s="168"/>
      <c r="BL111" s="168"/>
      <c r="BM111" s="168"/>
      <c r="BN111" s="168"/>
      <c r="BO111" s="168"/>
      <c r="BP111" s="168"/>
      <c r="BQ111" s="168"/>
      <c r="BR111" s="168"/>
    </row>
    <row r="112" spans="1:70" s="152" customFormat="1" x14ac:dyDescent="0.35">
      <c r="A112" s="187" t="s">
        <v>20</v>
      </c>
      <c r="B112" s="218">
        <f>'housing proportion projections'!I41</f>
        <v>72.276236548524039</v>
      </c>
      <c r="C112" s="186">
        <f>'housing proportion projections'!J41</f>
        <v>72.276236548524039</v>
      </c>
      <c r="D112" s="186">
        <f>'housing proportion projections'!K41</f>
        <v>72.276236548524039</v>
      </c>
      <c r="E112" s="186">
        <f>'housing proportion projections'!L41</f>
        <v>72.276236548524039</v>
      </c>
      <c r="F112" s="186">
        <f>'housing proportion projections'!M41</f>
        <v>72.276236548524039</v>
      </c>
      <c r="G112" s="218">
        <f>'housing proportion projections'!N41</f>
        <v>72.276236548524039</v>
      </c>
      <c r="H112" s="186">
        <f>'housing proportion projections'!O41</f>
        <v>72.276236548524039</v>
      </c>
      <c r="I112" s="186">
        <f>'housing proportion projections'!P41</f>
        <v>72.276236548524039</v>
      </c>
      <c r="J112" s="186">
        <f>'housing proportion projections'!Q41</f>
        <v>72.276236548524039</v>
      </c>
      <c r="K112" s="186">
        <f>'housing proportion projections'!R41</f>
        <v>72.276236548524039</v>
      </c>
      <c r="L112" s="186">
        <f>'housing proportion projections'!S41</f>
        <v>72.276236548524039</v>
      </c>
      <c r="M112" s="186">
        <f>'housing proportion projections'!T41</f>
        <v>72.276236548524039</v>
      </c>
      <c r="N112" s="186">
        <f>'housing proportion projections'!U41</f>
        <v>72.276236548524039</v>
      </c>
      <c r="O112" s="194">
        <f t="shared" ref="O112:O115" si="192">SUM(B112:N112)</f>
        <v>939.59107513081244</v>
      </c>
      <c r="P112" s="159"/>
      <c r="Q112" s="168"/>
      <c r="R112" s="147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51"/>
      <c r="AE112" s="168"/>
      <c r="AF112" s="168"/>
      <c r="AG112" s="168"/>
      <c r="AH112" s="151"/>
      <c r="AI112" s="168"/>
      <c r="AJ112" s="168"/>
      <c r="AK112" s="168"/>
      <c r="AL112" s="168"/>
      <c r="AM112" s="168"/>
      <c r="AN112" s="168"/>
      <c r="AO112" s="168"/>
      <c r="AP112" s="168"/>
      <c r="AQ112" s="168"/>
      <c r="AR112" s="168"/>
      <c r="AS112" s="168"/>
      <c r="AT112" s="168"/>
      <c r="AU112" s="168"/>
      <c r="AV112" s="168"/>
      <c r="AW112" s="168"/>
      <c r="AX112" s="168"/>
      <c r="AY112" s="168"/>
      <c r="AZ112" s="168"/>
      <c r="BA112" s="168"/>
      <c r="BB112" s="168"/>
      <c r="BC112" s="168"/>
      <c r="BD112" s="168"/>
      <c r="BE112" s="168"/>
      <c r="BF112" s="168"/>
      <c r="BG112" s="168"/>
      <c r="BH112" s="168"/>
      <c r="BI112" s="168"/>
      <c r="BJ112" s="168"/>
      <c r="BK112" s="168"/>
      <c r="BL112" s="168"/>
      <c r="BM112" s="168"/>
      <c r="BN112" s="168"/>
      <c r="BO112" s="168"/>
      <c r="BP112" s="168"/>
      <c r="BQ112" s="168"/>
      <c r="BR112" s="168"/>
    </row>
    <row r="113" spans="1:70" s="158" customFormat="1" x14ac:dyDescent="0.35">
      <c r="A113" s="187" t="s">
        <v>21</v>
      </c>
      <c r="B113" s="218">
        <f>'housing proportion projections'!I42</f>
        <v>139.53776285911738</v>
      </c>
      <c r="C113" s="186">
        <f>'housing proportion projections'!J42</f>
        <v>139.53776285911738</v>
      </c>
      <c r="D113" s="186">
        <f>'housing proportion projections'!K42</f>
        <v>139.53776285911738</v>
      </c>
      <c r="E113" s="186">
        <f>'housing proportion projections'!L42</f>
        <v>139.53776285911738</v>
      </c>
      <c r="F113" s="186">
        <f>'housing proportion projections'!M42</f>
        <v>139.53776285911738</v>
      </c>
      <c r="G113" s="218">
        <f>'housing proportion projections'!N42</f>
        <v>139.53776285911738</v>
      </c>
      <c r="H113" s="186">
        <f>'housing proportion projections'!O42</f>
        <v>139.53776285911738</v>
      </c>
      <c r="I113" s="186">
        <f>'housing proportion projections'!P42</f>
        <v>139.53776285911738</v>
      </c>
      <c r="J113" s="186">
        <f>'housing proportion projections'!Q42</f>
        <v>139.53776285911738</v>
      </c>
      <c r="K113" s="186">
        <f>'housing proportion projections'!R42</f>
        <v>139.53776285911738</v>
      </c>
      <c r="L113" s="186">
        <f>'housing proportion projections'!S42</f>
        <v>139.53776285911738</v>
      </c>
      <c r="M113" s="186">
        <f>'housing proportion projections'!T42</f>
        <v>139.53776285911738</v>
      </c>
      <c r="N113" s="186">
        <f>'housing proportion projections'!U42</f>
        <v>139.53776285911738</v>
      </c>
      <c r="O113" s="194">
        <f t="shared" si="192"/>
        <v>1813.9909171685254</v>
      </c>
      <c r="P113" s="167"/>
      <c r="Q113" s="168"/>
      <c r="R113" s="147"/>
      <c r="S113" s="168"/>
      <c r="T113" s="168"/>
      <c r="U113" s="168"/>
      <c r="V113" s="168"/>
      <c r="W113" s="168"/>
      <c r="X113" s="168"/>
      <c r="Y113" s="168"/>
      <c r="Z113" s="168"/>
      <c r="AA113" s="168"/>
      <c r="AB113" s="168"/>
      <c r="AC113" s="168"/>
      <c r="AD113" s="151"/>
      <c r="AE113" s="168"/>
      <c r="AF113" s="168"/>
      <c r="AG113" s="168"/>
      <c r="AH113" s="151"/>
      <c r="AI113" s="168"/>
      <c r="AJ113" s="168"/>
      <c r="AK113" s="168"/>
      <c r="AL113" s="168"/>
      <c r="AM113" s="168"/>
      <c r="AN113" s="168"/>
      <c r="AO113" s="168"/>
      <c r="AP113" s="168"/>
      <c r="AQ113" s="168"/>
      <c r="AR113" s="168"/>
      <c r="AS113" s="168"/>
      <c r="AT113" s="168"/>
      <c r="AU113" s="168"/>
      <c r="AV113" s="168"/>
      <c r="AW113" s="168"/>
      <c r="AX113" s="168"/>
      <c r="AY113" s="168"/>
      <c r="AZ113" s="168"/>
      <c r="BA113" s="168"/>
      <c r="BB113" s="168"/>
      <c r="BC113" s="168"/>
      <c r="BD113" s="168"/>
      <c r="BE113" s="168"/>
      <c r="BF113" s="168"/>
      <c r="BG113" s="168"/>
      <c r="BH113" s="168"/>
      <c r="BI113" s="168"/>
      <c r="BJ113" s="168"/>
      <c r="BK113" s="168"/>
      <c r="BL113" s="168"/>
      <c r="BM113" s="168"/>
      <c r="BN113" s="168"/>
      <c r="BO113" s="168"/>
      <c r="BP113" s="168"/>
      <c r="BQ113" s="168"/>
      <c r="BR113" s="168"/>
    </row>
    <row r="114" spans="1:70" s="152" customFormat="1" ht="15" thickBot="1" x14ac:dyDescent="0.4">
      <c r="A114" s="187" t="s">
        <v>26</v>
      </c>
      <c r="B114" s="218">
        <f>'housing proportion projections'!I43</f>
        <v>182.23180965544475</v>
      </c>
      <c r="C114" s="186">
        <f>'housing proportion projections'!J43</f>
        <v>182.23180965544475</v>
      </c>
      <c r="D114" s="186">
        <f>'housing proportion projections'!K43</f>
        <v>182.23180965544475</v>
      </c>
      <c r="E114" s="186">
        <f>'housing proportion projections'!L43</f>
        <v>182.23180965544475</v>
      </c>
      <c r="F114" s="186">
        <f>'housing proportion projections'!M43</f>
        <v>182.23180965544475</v>
      </c>
      <c r="G114" s="218">
        <f>'housing proportion projections'!N43</f>
        <v>182.23180965544475</v>
      </c>
      <c r="H114" s="186">
        <f>'housing proportion projections'!O43</f>
        <v>182.23180965544475</v>
      </c>
      <c r="I114" s="186">
        <f>'housing proportion projections'!P43</f>
        <v>182.23180965544475</v>
      </c>
      <c r="J114" s="186">
        <f>'housing proportion projections'!Q43</f>
        <v>182.23180965544475</v>
      </c>
      <c r="K114" s="186">
        <f>'housing proportion projections'!R43</f>
        <v>182.23180965544475</v>
      </c>
      <c r="L114" s="186">
        <f>'housing proportion projections'!S43</f>
        <v>182.23180965544475</v>
      </c>
      <c r="M114" s="186">
        <f>'housing proportion projections'!T43</f>
        <v>182.23180965544475</v>
      </c>
      <c r="N114" s="186">
        <f>'housing proportion projections'!U43</f>
        <v>182.23180965544475</v>
      </c>
      <c r="O114" s="194">
        <f t="shared" si="192"/>
        <v>2369.0135255207815</v>
      </c>
      <c r="P114" s="159"/>
      <c r="Q114" s="168"/>
      <c r="R114" s="147"/>
      <c r="S114" s="168"/>
      <c r="T114" s="168"/>
      <c r="U114" s="168"/>
      <c r="V114" s="168"/>
      <c r="W114" s="168"/>
      <c r="X114" s="168"/>
      <c r="Y114" s="168"/>
      <c r="Z114" s="168"/>
      <c r="AA114" s="168"/>
      <c r="AB114" s="168"/>
      <c r="AC114" s="168"/>
      <c r="AD114" s="151"/>
      <c r="AE114" s="168"/>
      <c r="AF114" s="168"/>
      <c r="AG114" s="168"/>
      <c r="AH114" s="151"/>
      <c r="AI114" s="168"/>
      <c r="AJ114" s="168"/>
      <c r="AK114" s="168"/>
      <c r="AL114" s="168"/>
      <c r="AM114" s="168"/>
      <c r="AN114" s="168"/>
      <c r="AO114" s="168"/>
      <c r="AP114" s="168"/>
      <c r="AQ114" s="168"/>
      <c r="AR114" s="168"/>
      <c r="AS114" s="168"/>
      <c r="AT114" s="168"/>
      <c r="AU114" s="168"/>
      <c r="AV114" s="168"/>
      <c r="AW114" s="168"/>
      <c r="AX114" s="168"/>
      <c r="AY114" s="168"/>
      <c r="AZ114" s="168"/>
      <c r="BA114" s="168"/>
      <c r="BB114" s="168"/>
      <c r="BC114" s="168"/>
      <c r="BD114" s="168"/>
      <c r="BE114" s="168"/>
      <c r="BF114" s="168"/>
      <c r="BG114" s="168"/>
      <c r="BH114" s="168"/>
      <c r="BI114" s="168"/>
      <c r="BJ114" s="168"/>
      <c r="BK114" s="168"/>
      <c r="BL114" s="168"/>
      <c r="BM114" s="168"/>
      <c r="BN114" s="168"/>
      <c r="BO114" s="168"/>
      <c r="BP114" s="168"/>
      <c r="BQ114" s="168"/>
      <c r="BR114" s="168"/>
    </row>
    <row r="115" spans="1:70" s="156" customFormat="1" x14ac:dyDescent="0.35">
      <c r="A115" s="190" t="s">
        <v>22</v>
      </c>
      <c r="B115" s="218">
        <f>'housing proportion projections'!I44</f>
        <v>71.954190936913818</v>
      </c>
      <c r="C115" s="186">
        <f>'housing proportion projections'!J44</f>
        <v>71.954190936913818</v>
      </c>
      <c r="D115" s="186">
        <f>'housing proportion projections'!K44</f>
        <v>71.954190936913818</v>
      </c>
      <c r="E115" s="186">
        <f>'housing proportion projections'!L44</f>
        <v>71.954190936913818</v>
      </c>
      <c r="F115" s="186">
        <f>'housing proportion projections'!M44</f>
        <v>71.954190936913818</v>
      </c>
      <c r="G115" s="218">
        <f>'housing proportion projections'!N44</f>
        <v>71.954190936913818</v>
      </c>
      <c r="H115" s="186">
        <f>'housing proportion projections'!O44</f>
        <v>71.954190936913818</v>
      </c>
      <c r="I115" s="186">
        <f>'housing proportion projections'!P44</f>
        <v>71.954190936913818</v>
      </c>
      <c r="J115" s="186">
        <f>'housing proportion projections'!Q44</f>
        <v>71.954190936913818</v>
      </c>
      <c r="K115" s="186">
        <f>'housing proportion projections'!R44</f>
        <v>71.954190936913818</v>
      </c>
      <c r="L115" s="186">
        <f>'housing proportion projections'!S44</f>
        <v>71.954190936913818</v>
      </c>
      <c r="M115" s="186">
        <f>'housing proportion projections'!T44</f>
        <v>71.954190936913818</v>
      </c>
      <c r="N115" s="186">
        <f>'housing proportion projections'!U44</f>
        <v>71.954190936913818</v>
      </c>
      <c r="O115" s="194">
        <f t="shared" si="192"/>
        <v>935.40448217987989</v>
      </c>
      <c r="P115" s="161"/>
      <c r="Q115" s="168"/>
      <c r="R115" s="147"/>
      <c r="S115" s="168"/>
      <c r="T115" s="168"/>
      <c r="U115" s="168"/>
      <c r="V115" s="168"/>
      <c r="W115" s="168"/>
      <c r="X115" s="168"/>
      <c r="Y115" s="168"/>
      <c r="Z115" s="168"/>
      <c r="AA115" s="168"/>
      <c r="AB115" s="168"/>
      <c r="AC115" s="168"/>
      <c r="AD115" s="151"/>
      <c r="AE115" s="168"/>
      <c r="AF115" s="168"/>
      <c r="AG115" s="168"/>
      <c r="AH115" s="151"/>
      <c r="AI115" s="168"/>
      <c r="AJ115" s="168"/>
      <c r="AK115" s="168"/>
      <c r="AL115" s="168"/>
      <c r="AM115" s="168"/>
      <c r="AN115" s="168"/>
      <c r="AO115" s="168"/>
      <c r="AP115" s="168"/>
      <c r="AQ115" s="168"/>
      <c r="AR115" s="168"/>
      <c r="AS115" s="168"/>
      <c r="AT115" s="168"/>
      <c r="AU115" s="168"/>
      <c r="AV115" s="168"/>
      <c r="AW115" s="168"/>
      <c r="AX115" s="168"/>
      <c r="AY115" s="168"/>
      <c r="AZ115" s="168"/>
      <c r="BA115" s="168"/>
      <c r="BB115" s="168"/>
      <c r="BC115" s="168"/>
      <c r="BD115" s="168"/>
      <c r="BE115" s="168"/>
      <c r="BF115" s="168"/>
      <c r="BG115" s="168"/>
      <c r="BH115" s="168"/>
      <c r="BI115" s="168"/>
      <c r="BJ115" s="168"/>
      <c r="BK115" s="168"/>
      <c r="BL115" s="168"/>
      <c r="BM115" s="168"/>
      <c r="BN115" s="168"/>
      <c r="BO115" s="168"/>
      <c r="BP115" s="168"/>
      <c r="BQ115" s="168"/>
      <c r="BR115" s="168"/>
    </row>
    <row r="116" spans="1:70" s="155" customFormat="1" ht="15" thickBot="1" x14ac:dyDescent="0.4">
      <c r="A116" s="179"/>
      <c r="B116" s="212"/>
      <c r="C116" s="179"/>
      <c r="D116" s="179"/>
      <c r="E116" s="179"/>
      <c r="F116" s="179"/>
      <c r="G116" s="212"/>
      <c r="H116" s="179"/>
      <c r="I116" s="179"/>
      <c r="J116" s="179"/>
      <c r="K116" s="179"/>
      <c r="L116" s="179"/>
      <c r="M116" s="179"/>
      <c r="N116" s="179"/>
      <c r="O116" s="179"/>
      <c r="P116" s="162"/>
      <c r="Q116" s="168"/>
      <c r="R116" s="147"/>
      <c r="S116" s="168"/>
      <c r="T116" s="168"/>
      <c r="U116" s="168"/>
      <c r="V116" s="168"/>
      <c r="W116" s="168"/>
      <c r="X116" s="168"/>
      <c r="Y116" s="168"/>
      <c r="Z116" s="168"/>
      <c r="AA116" s="168"/>
      <c r="AB116" s="168"/>
      <c r="AC116" s="168"/>
      <c r="AD116" s="151"/>
      <c r="AE116" s="168"/>
      <c r="AF116" s="168"/>
      <c r="AG116" s="168"/>
      <c r="AH116" s="151"/>
      <c r="AI116" s="168"/>
      <c r="AJ116" s="168"/>
      <c r="AK116" s="168"/>
      <c r="AL116" s="168"/>
      <c r="AM116" s="168"/>
      <c r="AN116" s="168"/>
      <c r="AO116" s="168"/>
      <c r="AP116" s="168"/>
      <c r="AQ116" s="168"/>
      <c r="AR116" s="168"/>
      <c r="AS116" s="168"/>
      <c r="AT116" s="168"/>
      <c r="AU116" s="168"/>
      <c r="AV116" s="168"/>
      <c r="AW116" s="168"/>
      <c r="AX116" s="168"/>
      <c r="AY116" s="168"/>
      <c r="AZ116" s="168"/>
      <c r="BA116" s="168"/>
      <c r="BB116" s="168"/>
      <c r="BC116" s="168"/>
      <c r="BD116" s="168"/>
      <c r="BE116" s="168"/>
      <c r="BF116" s="168"/>
      <c r="BG116" s="168"/>
      <c r="BH116" s="168"/>
      <c r="BI116" s="168"/>
      <c r="BJ116" s="168"/>
      <c r="BK116" s="168"/>
      <c r="BL116" s="168"/>
      <c r="BM116" s="168"/>
      <c r="BN116" s="168"/>
      <c r="BO116" s="168"/>
      <c r="BP116" s="168"/>
      <c r="BQ116" s="168"/>
      <c r="BR116" s="168"/>
    </row>
    <row r="117" spans="1:70" s="155" customFormat="1" x14ac:dyDescent="0.35">
      <c r="A117" s="191" t="s">
        <v>134</v>
      </c>
      <c r="B117" s="213"/>
      <c r="C117" s="192"/>
      <c r="D117" s="192"/>
      <c r="E117" s="192"/>
      <c r="F117" s="192"/>
      <c r="G117" s="213"/>
      <c r="H117" s="192"/>
      <c r="I117" s="192"/>
      <c r="J117" s="192"/>
      <c r="K117" s="192"/>
      <c r="L117" s="192"/>
      <c r="M117" s="192"/>
      <c r="N117" s="192"/>
      <c r="O117" s="192"/>
      <c r="P117" s="163"/>
      <c r="Q117" s="168"/>
      <c r="R117" s="147"/>
      <c r="S117" s="168"/>
      <c r="T117" s="168"/>
      <c r="U117" s="168"/>
      <c r="V117" s="168"/>
      <c r="W117" s="168"/>
      <c r="X117" s="168"/>
      <c r="Y117" s="168"/>
      <c r="Z117" s="168"/>
      <c r="AA117" s="168"/>
      <c r="AB117" s="168"/>
      <c r="AC117" s="168"/>
      <c r="AD117" s="151"/>
      <c r="AE117" s="168"/>
      <c r="AF117" s="168"/>
      <c r="AG117" s="168"/>
      <c r="AH117" s="151"/>
      <c r="AI117" s="168"/>
      <c r="AJ117" s="168"/>
      <c r="AK117" s="168"/>
      <c r="AL117" s="168"/>
      <c r="AM117" s="168"/>
      <c r="AN117" s="168"/>
      <c r="AO117" s="168"/>
      <c r="AP117" s="168"/>
      <c r="AQ117" s="168"/>
      <c r="AR117" s="168"/>
      <c r="AS117" s="168"/>
      <c r="AT117" s="168"/>
      <c r="AU117" s="168"/>
      <c r="AV117" s="168"/>
      <c r="AW117" s="168"/>
      <c r="AX117" s="168"/>
      <c r="AY117" s="168"/>
      <c r="AZ117" s="168"/>
      <c r="BA117" s="168"/>
      <c r="BB117" s="168"/>
      <c r="BC117" s="168"/>
      <c r="BD117" s="168"/>
      <c r="BE117" s="168"/>
      <c r="BF117" s="168"/>
      <c r="BG117" s="168"/>
      <c r="BH117" s="168"/>
      <c r="BI117" s="168"/>
      <c r="BJ117" s="168"/>
      <c r="BK117" s="168"/>
      <c r="BL117" s="168"/>
      <c r="BM117" s="168"/>
      <c r="BN117" s="168"/>
      <c r="BO117" s="168"/>
      <c r="BP117" s="168"/>
      <c r="BQ117" s="168"/>
      <c r="BR117" s="168"/>
    </row>
    <row r="118" spans="1:70" s="155" customFormat="1" x14ac:dyDescent="0.35">
      <c r="A118" s="193" t="s">
        <v>112</v>
      </c>
      <c r="B118" s="214">
        <f>((B112*$AE$28)+(B113*$AE$29)+(B114*$AE$30)+(B115*$AE$31))*30</f>
        <v>3695611.1041960628</v>
      </c>
      <c r="C118" s="214">
        <f t="shared" ref="C118:F118" si="193">((C112*$AE$28)+(C113*$AE$29)+(C114*$AE$30)+(C115*$AE$31))*30</f>
        <v>3695611.1041960628</v>
      </c>
      <c r="D118" s="214">
        <f t="shared" si="193"/>
        <v>3695611.1041960628</v>
      </c>
      <c r="E118" s="214">
        <f t="shared" si="193"/>
        <v>3695611.1041960628</v>
      </c>
      <c r="F118" s="214">
        <f t="shared" si="193"/>
        <v>3695611.1041960628</v>
      </c>
      <c r="G118" s="214">
        <f>((G112*$AI$28)+(G113*$AI$29)+(G114*$AI$30)+(G115*$AI$31))*30</f>
        <v>3651867.2002117471</v>
      </c>
      <c r="H118" s="214">
        <f t="shared" ref="H118:N118" si="194">((H112*$AI$28)+(H113*$AI$29)+(H114*$AI$30)+(H115*$AI$31))*30</f>
        <v>3651867.2002117471</v>
      </c>
      <c r="I118" s="214">
        <f t="shared" si="194"/>
        <v>3651867.2002117471</v>
      </c>
      <c r="J118" s="214">
        <f t="shared" si="194"/>
        <v>3651867.2002117471</v>
      </c>
      <c r="K118" s="214">
        <f t="shared" si="194"/>
        <v>3651867.2002117471</v>
      </c>
      <c r="L118" s="214">
        <f t="shared" si="194"/>
        <v>3651867.2002117471</v>
      </c>
      <c r="M118" s="214">
        <f t="shared" si="194"/>
        <v>3651867.2002117471</v>
      </c>
      <c r="N118" s="214">
        <f t="shared" si="194"/>
        <v>3651867.2002117471</v>
      </c>
      <c r="O118" s="214">
        <f>SUM(B118:N118)</f>
        <v>47692993.122674301</v>
      </c>
      <c r="P118" s="162"/>
      <c r="Q118" s="168"/>
      <c r="R118" s="147"/>
      <c r="S118" s="168"/>
      <c r="T118" s="168"/>
      <c r="U118" s="168"/>
      <c r="V118" s="168"/>
      <c r="W118" s="168"/>
      <c r="X118" s="168"/>
      <c r="Y118" s="168"/>
      <c r="Z118" s="168"/>
      <c r="AA118" s="168"/>
      <c r="AB118" s="168"/>
      <c r="AC118" s="168"/>
      <c r="AD118" s="151"/>
      <c r="AE118" s="168"/>
      <c r="AF118" s="168"/>
      <c r="AG118" s="168"/>
      <c r="AH118" s="151"/>
      <c r="AI118" s="168"/>
      <c r="AJ118" s="168"/>
      <c r="AK118" s="168"/>
      <c r="AL118" s="168"/>
      <c r="AM118" s="168"/>
      <c r="AN118" s="168"/>
      <c r="AO118" s="168"/>
      <c r="AP118" s="168"/>
      <c r="AQ118" s="168"/>
      <c r="AR118" s="168"/>
      <c r="AS118" s="168"/>
      <c r="AT118" s="168"/>
      <c r="AU118" s="168"/>
      <c r="AV118" s="168"/>
      <c r="AW118" s="168"/>
      <c r="AX118" s="168"/>
      <c r="AY118" s="168"/>
      <c r="AZ118" s="168"/>
      <c r="BA118" s="168"/>
      <c r="BB118" s="168"/>
      <c r="BC118" s="168"/>
      <c r="BD118" s="168"/>
      <c r="BE118" s="168"/>
      <c r="BF118" s="168"/>
      <c r="BG118" s="168"/>
      <c r="BH118" s="168"/>
      <c r="BI118" s="168"/>
      <c r="BJ118" s="168"/>
      <c r="BK118" s="168"/>
      <c r="BL118" s="168"/>
      <c r="BM118" s="168"/>
      <c r="BN118" s="168"/>
      <c r="BO118" s="168"/>
      <c r="BP118" s="168"/>
      <c r="BQ118" s="168"/>
      <c r="BR118" s="168"/>
    </row>
    <row r="119" spans="1:70" s="155" customFormat="1" x14ac:dyDescent="0.35">
      <c r="A119" s="193" t="s">
        <v>113</v>
      </c>
      <c r="B119" s="214">
        <f t="shared" ref="B119" si="195">B118/1000</f>
        <v>3695.6111041960626</v>
      </c>
      <c r="C119" s="214">
        <f t="shared" ref="C119" si="196">C118/1000</f>
        <v>3695.6111041960626</v>
      </c>
      <c r="D119" s="214">
        <f t="shared" ref="D119" si="197">D118/1000</f>
        <v>3695.6111041960626</v>
      </c>
      <c r="E119" s="214">
        <f t="shared" ref="E119" si="198">E118/1000</f>
        <v>3695.6111041960626</v>
      </c>
      <c r="F119" s="214">
        <f t="shared" ref="F119" si="199">F118/1000</f>
        <v>3695.6111041960626</v>
      </c>
      <c r="G119" s="214">
        <f t="shared" ref="G119" si="200">G118/1000</f>
        <v>3651.8672002117469</v>
      </c>
      <c r="H119" s="214">
        <f t="shared" ref="H119" si="201">H118/1000</f>
        <v>3651.8672002117469</v>
      </c>
      <c r="I119" s="214">
        <f t="shared" ref="I119" si="202">I118/1000</f>
        <v>3651.8672002117469</v>
      </c>
      <c r="J119" s="214">
        <f t="shared" ref="J119" si="203">J118/1000</f>
        <v>3651.8672002117469</v>
      </c>
      <c r="K119" s="214">
        <f t="shared" ref="K119" si="204">K118/1000</f>
        <v>3651.8672002117469</v>
      </c>
      <c r="L119" s="214">
        <f t="shared" ref="L119" si="205">L118/1000</f>
        <v>3651.8672002117469</v>
      </c>
      <c r="M119" s="214">
        <f t="shared" ref="M119" si="206">M118/1000</f>
        <v>3651.8672002117469</v>
      </c>
      <c r="N119" s="214">
        <f t="shared" ref="N119" si="207">N118/1000</f>
        <v>3651.8672002117469</v>
      </c>
      <c r="O119" s="214">
        <f t="shared" ref="O119" si="208">O118/1000</f>
        <v>47692.993122674299</v>
      </c>
      <c r="P119" s="162"/>
      <c r="Q119" s="168"/>
      <c r="R119" s="147"/>
      <c r="S119" s="168"/>
      <c r="T119" s="168"/>
      <c r="U119" s="168"/>
      <c r="V119" s="168"/>
      <c r="W119" s="168"/>
      <c r="X119" s="168"/>
      <c r="Y119" s="168"/>
      <c r="Z119" s="168"/>
      <c r="AA119" s="168"/>
      <c r="AB119" s="168"/>
      <c r="AC119" s="168"/>
      <c r="AD119" s="151"/>
      <c r="AE119" s="168"/>
      <c r="AF119" s="168"/>
      <c r="AG119" s="168"/>
      <c r="AH119" s="151"/>
      <c r="AI119" s="168"/>
      <c r="AJ119" s="168"/>
      <c r="AK119" s="168"/>
      <c r="AL119" s="168"/>
      <c r="AM119" s="168"/>
      <c r="AN119" s="168"/>
      <c r="AO119" s="168"/>
      <c r="AP119" s="168"/>
      <c r="AQ119" s="168"/>
      <c r="AR119" s="168"/>
      <c r="AS119" s="168"/>
      <c r="AT119" s="168"/>
      <c r="AU119" s="168"/>
      <c r="AV119" s="168"/>
      <c r="AW119" s="168"/>
      <c r="AX119" s="168"/>
      <c r="AY119" s="168"/>
      <c r="AZ119" s="168"/>
      <c r="BA119" s="168"/>
      <c r="BB119" s="168"/>
      <c r="BC119" s="168"/>
      <c r="BD119" s="168"/>
      <c r="BE119" s="168"/>
      <c r="BF119" s="168"/>
      <c r="BG119" s="168"/>
      <c r="BH119" s="168"/>
      <c r="BI119" s="168"/>
      <c r="BJ119" s="168"/>
      <c r="BK119" s="168"/>
      <c r="BL119" s="168"/>
      <c r="BM119" s="168"/>
      <c r="BN119" s="168"/>
      <c r="BO119" s="168"/>
      <c r="BP119" s="168"/>
      <c r="BQ119" s="168"/>
      <c r="BR119" s="168"/>
    </row>
    <row r="120" spans="1:70" s="157" customFormat="1" ht="15" thickBot="1" x14ac:dyDescent="0.4">
      <c r="A120" s="193" t="s">
        <v>64</v>
      </c>
      <c r="B120" s="215">
        <f t="shared" ref="B120" si="209">B119*$AB$2</f>
        <v>739122.22083921253</v>
      </c>
      <c r="C120" s="215">
        <f t="shared" ref="C120" si="210">C119*$AB$2</f>
        <v>739122.22083921253</v>
      </c>
      <c r="D120" s="215">
        <f t="shared" ref="D120" si="211">D119*$AB$2</f>
        <v>739122.22083921253</v>
      </c>
      <c r="E120" s="215">
        <f t="shared" ref="E120" si="212">E119*$AB$2</f>
        <v>739122.22083921253</v>
      </c>
      <c r="F120" s="215">
        <f t="shared" ref="F120" si="213">F119*$AB$2</f>
        <v>739122.22083921253</v>
      </c>
      <c r="G120" s="215">
        <f t="shared" ref="G120" si="214">G119*$AB$2</f>
        <v>730373.44004234939</v>
      </c>
      <c r="H120" s="215">
        <f t="shared" ref="H120" si="215">H119*$AB$2</f>
        <v>730373.44004234939</v>
      </c>
      <c r="I120" s="215">
        <f t="shared" ref="I120" si="216">I119*$AB$2</f>
        <v>730373.44004234939</v>
      </c>
      <c r="J120" s="215">
        <f t="shared" ref="J120" si="217">J119*$AB$2</f>
        <v>730373.44004234939</v>
      </c>
      <c r="K120" s="215">
        <f t="shared" ref="K120" si="218">K119*$AB$2</f>
        <v>730373.44004234939</v>
      </c>
      <c r="L120" s="215">
        <f t="shared" ref="L120" si="219">L119*$AB$2</f>
        <v>730373.44004234939</v>
      </c>
      <c r="M120" s="215">
        <f t="shared" ref="M120" si="220">M119*$AB$2</f>
        <v>730373.44004234939</v>
      </c>
      <c r="N120" s="215">
        <f t="shared" ref="N120" si="221">N119*$AB$2</f>
        <v>730373.44004234939</v>
      </c>
      <c r="O120" s="215">
        <f t="shared" ref="O120" si="222">O119*$AB$2</f>
        <v>9538598.6245348603</v>
      </c>
      <c r="P120" s="164"/>
      <c r="Q120" s="168"/>
      <c r="R120" s="147"/>
      <c r="S120" s="168"/>
      <c r="T120" s="168"/>
      <c r="U120" s="168"/>
      <c r="V120" s="168"/>
      <c r="W120" s="168"/>
      <c r="X120" s="168"/>
      <c r="Y120" s="168"/>
      <c r="Z120" s="168"/>
      <c r="AA120" s="168"/>
      <c r="AB120" s="168"/>
      <c r="AC120" s="168"/>
      <c r="AD120" s="151"/>
      <c r="AE120" s="168"/>
      <c r="AF120" s="168"/>
      <c r="AG120" s="168"/>
      <c r="AH120" s="151"/>
      <c r="AI120" s="168"/>
      <c r="AJ120" s="168"/>
      <c r="AK120" s="168"/>
      <c r="AL120" s="168"/>
      <c r="AM120" s="168"/>
      <c r="AN120" s="168"/>
      <c r="AO120" s="168"/>
      <c r="AP120" s="168"/>
      <c r="AQ120" s="168"/>
      <c r="AR120" s="168"/>
      <c r="AS120" s="168"/>
      <c r="AT120" s="168"/>
      <c r="AU120" s="168"/>
      <c r="AV120" s="168"/>
      <c r="AW120" s="168"/>
      <c r="AX120" s="168"/>
      <c r="AY120" s="168"/>
      <c r="AZ120" s="168"/>
      <c r="BA120" s="168"/>
      <c r="BB120" s="168"/>
      <c r="BC120" s="168"/>
      <c r="BD120" s="168"/>
      <c r="BE120" s="168"/>
      <c r="BF120" s="168"/>
      <c r="BG120" s="168"/>
      <c r="BH120" s="168"/>
      <c r="BI120" s="168"/>
      <c r="BJ120" s="168"/>
      <c r="BK120" s="168"/>
      <c r="BL120" s="168"/>
      <c r="BM120" s="168"/>
      <c r="BN120" s="168"/>
      <c r="BO120" s="168"/>
      <c r="BP120" s="168"/>
      <c r="BQ120" s="168"/>
      <c r="BR120" s="168"/>
    </row>
    <row r="121" spans="1:70" s="152" customFormat="1" x14ac:dyDescent="0.35">
      <c r="A121" s="193"/>
      <c r="B121" s="214"/>
      <c r="C121" s="194"/>
      <c r="D121" s="194"/>
      <c r="E121" s="194"/>
      <c r="F121" s="194"/>
      <c r="G121" s="214"/>
      <c r="H121" s="194"/>
      <c r="I121" s="194"/>
      <c r="J121" s="194"/>
      <c r="K121" s="194"/>
      <c r="L121" s="194"/>
      <c r="M121" s="194"/>
      <c r="N121" s="194"/>
      <c r="O121" s="194"/>
      <c r="P121" s="159"/>
      <c r="Q121" s="168"/>
      <c r="R121" s="147"/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51"/>
      <c r="AE121" s="168"/>
      <c r="AF121" s="168"/>
      <c r="AG121" s="168"/>
      <c r="AH121" s="151"/>
      <c r="AI121" s="168"/>
      <c r="AJ121" s="168"/>
      <c r="AK121" s="168"/>
      <c r="AL121" s="168"/>
      <c r="AM121" s="168"/>
      <c r="AN121" s="168"/>
      <c r="AO121" s="168"/>
      <c r="AP121" s="168"/>
      <c r="AQ121" s="168"/>
      <c r="AR121" s="168"/>
      <c r="AS121" s="168"/>
      <c r="AT121" s="168"/>
      <c r="AU121" s="168"/>
      <c r="AV121" s="168"/>
      <c r="AW121" s="168"/>
      <c r="AX121" s="168"/>
      <c r="AY121" s="168"/>
      <c r="AZ121" s="168"/>
      <c r="BA121" s="168"/>
      <c r="BB121" s="168"/>
      <c r="BC121" s="168"/>
      <c r="BD121" s="168"/>
      <c r="BE121" s="168"/>
      <c r="BF121" s="168"/>
      <c r="BG121" s="168"/>
      <c r="BH121" s="168"/>
      <c r="BI121" s="168"/>
      <c r="BJ121" s="168"/>
      <c r="BK121" s="168"/>
      <c r="BL121" s="168"/>
      <c r="BM121" s="168"/>
      <c r="BN121" s="168"/>
      <c r="BO121" s="168"/>
      <c r="BP121" s="168"/>
      <c r="BQ121" s="168"/>
      <c r="BR121" s="168"/>
    </row>
    <row r="122" spans="1:70" s="152" customFormat="1" ht="15" thickBot="1" x14ac:dyDescent="0.4">
      <c r="A122" s="197"/>
      <c r="B122" s="216"/>
      <c r="C122" s="198"/>
      <c r="D122" s="198"/>
      <c r="E122" s="198"/>
      <c r="F122" s="198"/>
      <c r="G122" s="216"/>
      <c r="H122" s="198"/>
      <c r="I122" s="198"/>
      <c r="J122" s="198"/>
      <c r="K122" s="198"/>
      <c r="L122" s="198"/>
      <c r="M122" s="198"/>
      <c r="N122" s="198"/>
      <c r="O122" s="198"/>
      <c r="P122" s="159"/>
      <c r="Q122" s="168"/>
      <c r="R122" s="147"/>
      <c r="S122" s="168"/>
      <c r="T122" s="168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51"/>
      <c r="AE122" s="168"/>
      <c r="AF122" s="168"/>
      <c r="AG122" s="168"/>
      <c r="AH122" s="151"/>
      <c r="AI122" s="168"/>
      <c r="AJ122" s="168"/>
      <c r="AK122" s="168"/>
      <c r="AL122" s="168"/>
      <c r="AM122" s="168"/>
      <c r="AN122" s="168"/>
      <c r="AO122" s="168"/>
      <c r="AP122" s="168"/>
      <c r="AQ122" s="168"/>
      <c r="AR122" s="168"/>
      <c r="AS122" s="168"/>
      <c r="AT122" s="168"/>
      <c r="AU122" s="168"/>
      <c r="AV122" s="168"/>
      <c r="AW122" s="168"/>
      <c r="AX122" s="168"/>
      <c r="AY122" s="168"/>
      <c r="AZ122" s="168"/>
      <c r="BA122" s="168"/>
      <c r="BB122" s="168"/>
      <c r="BC122" s="168"/>
      <c r="BD122" s="168"/>
      <c r="BE122" s="168"/>
      <c r="BF122" s="168"/>
      <c r="BG122" s="168"/>
      <c r="BH122" s="168"/>
      <c r="BI122" s="168"/>
      <c r="BJ122" s="168"/>
      <c r="BK122" s="168"/>
      <c r="BL122" s="168"/>
      <c r="BM122" s="168"/>
      <c r="BN122" s="168"/>
      <c r="BO122" s="168"/>
      <c r="BP122" s="168"/>
      <c r="BQ122" s="168"/>
      <c r="BR122" s="168"/>
    </row>
    <row r="123" spans="1:70" s="152" customFormat="1" x14ac:dyDescent="0.35">
      <c r="A123" s="179"/>
      <c r="B123" s="212"/>
      <c r="C123" s="179"/>
      <c r="D123" s="179"/>
      <c r="E123" s="179"/>
      <c r="F123" s="179"/>
      <c r="G123" s="212"/>
      <c r="H123" s="179"/>
      <c r="I123" s="179"/>
      <c r="J123" s="179"/>
      <c r="K123" s="179"/>
      <c r="L123" s="179"/>
      <c r="M123" s="179"/>
      <c r="N123" s="179"/>
      <c r="O123" s="179"/>
      <c r="P123" s="159"/>
      <c r="Q123" s="168"/>
      <c r="R123" s="147"/>
      <c r="S123" s="168"/>
      <c r="T123" s="168"/>
      <c r="U123" s="168"/>
      <c r="V123" s="168"/>
      <c r="W123" s="168"/>
      <c r="X123" s="168"/>
      <c r="Y123" s="168"/>
      <c r="Z123" s="168"/>
      <c r="AA123" s="168"/>
      <c r="AB123" s="168"/>
      <c r="AC123" s="168"/>
      <c r="AD123" s="151"/>
      <c r="AE123" s="168"/>
      <c r="AF123" s="168"/>
      <c r="AG123" s="168"/>
      <c r="AH123" s="151"/>
      <c r="AI123" s="168"/>
      <c r="AJ123" s="168"/>
      <c r="AK123" s="168"/>
      <c r="AL123" s="168"/>
      <c r="AM123" s="168"/>
      <c r="AN123" s="168"/>
      <c r="AO123" s="168"/>
      <c r="AP123" s="168"/>
      <c r="AQ123" s="168"/>
      <c r="AR123" s="168"/>
      <c r="AS123" s="168"/>
      <c r="AT123" s="168"/>
      <c r="AU123" s="168"/>
      <c r="AV123" s="168"/>
      <c r="AW123" s="168"/>
      <c r="AX123" s="168"/>
      <c r="AY123" s="168"/>
      <c r="AZ123" s="168"/>
      <c r="BA123" s="168"/>
      <c r="BB123" s="168"/>
      <c r="BC123" s="168"/>
      <c r="BD123" s="168"/>
      <c r="BE123" s="168"/>
      <c r="BF123" s="168"/>
      <c r="BG123" s="168"/>
      <c r="BH123" s="168"/>
      <c r="BI123" s="168"/>
      <c r="BJ123" s="168"/>
      <c r="BK123" s="168"/>
      <c r="BL123" s="168"/>
      <c r="BM123" s="168"/>
      <c r="BN123" s="168"/>
      <c r="BO123" s="168"/>
      <c r="BP123" s="168"/>
      <c r="BQ123" s="168"/>
      <c r="BR123" s="168"/>
    </row>
    <row r="124" spans="1:70" s="152" customFormat="1" x14ac:dyDescent="0.35">
      <c r="A124" s="179"/>
      <c r="B124" s="212"/>
      <c r="C124" s="179"/>
      <c r="D124" s="179"/>
      <c r="E124" s="179"/>
      <c r="F124" s="179"/>
      <c r="G124" s="212"/>
      <c r="H124" s="179"/>
      <c r="I124" s="179"/>
      <c r="J124" s="179"/>
      <c r="K124" s="179"/>
      <c r="L124" s="179"/>
      <c r="M124" s="179"/>
      <c r="N124" s="179"/>
      <c r="O124" s="179"/>
      <c r="P124" s="160"/>
      <c r="Q124" s="168"/>
      <c r="R124" s="147"/>
      <c r="S124" s="168"/>
      <c r="T124" s="168"/>
      <c r="U124" s="168"/>
      <c r="V124" s="168"/>
      <c r="W124" s="168"/>
      <c r="X124" s="168"/>
      <c r="Y124" s="168"/>
      <c r="Z124" s="168"/>
      <c r="AA124" s="168"/>
      <c r="AB124" s="168"/>
      <c r="AC124" s="168"/>
      <c r="AD124" s="151"/>
      <c r="AE124" s="168"/>
      <c r="AF124" s="168"/>
      <c r="AG124" s="168"/>
      <c r="AH124" s="151"/>
      <c r="AI124" s="168"/>
      <c r="AJ124" s="168"/>
      <c r="AK124" s="168"/>
      <c r="AL124" s="168"/>
      <c r="AM124" s="168"/>
      <c r="AN124" s="168"/>
      <c r="AO124" s="168"/>
      <c r="AP124" s="168"/>
      <c r="AQ124" s="168"/>
      <c r="AR124" s="168"/>
      <c r="AS124" s="168"/>
      <c r="AT124" s="168"/>
      <c r="AU124" s="168"/>
      <c r="AV124" s="168"/>
      <c r="AW124" s="168"/>
      <c r="AX124" s="168"/>
      <c r="AY124" s="168"/>
      <c r="AZ124" s="168"/>
      <c r="BA124" s="168"/>
      <c r="BB124" s="168"/>
      <c r="BC124" s="168"/>
      <c r="BD124" s="168"/>
      <c r="BE124" s="168"/>
      <c r="BF124" s="168"/>
      <c r="BG124" s="168"/>
      <c r="BH124" s="168"/>
      <c r="BI124" s="168"/>
      <c r="BJ124" s="168"/>
      <c r="BK124" s="168"/>
      <c r="BL124" s="168"/>
      <c r="BM124" s="168"/>
      <c r="BN124" s="168"/>
      <c r="BO124" s="168"/>
      <c r="BP124" s="168"/>
      <c r="BQ124" s="168"/>
      <c r="BR124" s="168"/>
    </row>
    <row r="125" spans="1:70" s="152" customFormat="1" x14ac:dyDescent="0.35">
      <c r="A125" s="180" t="s">
        <v>0</v>
      </c>
      <c r="B125" s="209" t="s">
        <v>7</v>
      </c>
      <c r="C125" s="182" t="s">
        <v>8</v>
      </c>
      <c r="D125" s="182" t="s">
        <v>9</v>
      </c>
      <c r="E125" s="182" t="s">
        <v>10</v>
      </c>
      <c r="F125" s="182" t="s">
        <v>11</v>
      </c>
      <c r="G125" s="209" t="s">
        <v>12</v>
      </c>
      <c r="H125" s="182" t="s">
        <v>13</v>
      </c>
      <c r="I125" s="182" t="s">
        <v>14</v>
      </c>
      <c r="J125" s="182" t="s">
        <v>15</v>
      </c>
      <c r="K125" s="182" t="s">
        <v>16</v>
      </c>
      <c r="L125" s="183" t="s">
        <v>17</v>
      </c>
      <c r="M125" s="184" t="s">
        <v>23</v>
      </c>
      <c r="N125" s="184" t="s">
        <v>24</v>
      </c>
      <c r="O125" s="185" t="s">
        <v>18</v>
      </c>
      <c r="P125" s="159"/>
      <c r="Q125" s="168"/>
      <c r="R125" s="147"/>
      <c r="S125" s="168"/>
      <c r="T125" s="168"/>
      <c r="U125" s="168"/>
      <c r="V125" s="168"/>
      <c r="W125" s="168"/>
      <c r="X125" s="168"/>
      <c r="Y125" s="168"/>
      <c r="Z125" s="168"/>
      <c r="AA125" s="168"/>
      <c r="AB125" s="168"/>
      <c r="AC125" s="168"/>
      <c r="AD125" s="151"/>
      <c r="AE125" s="168"/>
      <c r="AF125" s="168"/>
      <c r="AG125" s="168"/>
      <c r="AH125" s="151"/>
      <c r="AI125" s="168"/>
      <c r="AJ125" s="168"/>
      <c r="AK125" s="168"/>
      <c r="AL125" s="168"/>
      <c r="AM125" s="168"/>
      <c r="AN125" s="168"/>
      <c r="AO125" s="168"/>
      <c r="AP125" s="168"/>
      <c r="AQ125" s="168"/>
      <c r="AR125" s="168"/>
      <c r="AS125" s="168"/>
      <c r="AT125" s="168"/>
      <c r="AU125" s="168"/>
      <c r="AV125" s="168"/>
      <c r="AW125" s="168"/>
      <c r="AX125" s="168"/>
      <c r="AY125" s="168"/>
      <c r="AZ125" s="168"/>
      <c r="BA125" s="168"/>
      <c r="BB125" s="168"/>
      <c r="BC125" s="168"/>
      <c r="BD125" s="168"/>
      <c r="BE125" s="168"/>
      <c r="BF125" s="168"/>
      <c r="BG125" s="168"/>
      <c r="BH125" s="168"/>
      <c r="BI125" s="168"/>
      <c r="BJ125" s="168"/>
      <c r="BK125" s="168"/>
      <c r="BL125" s="168"/>
      <c r="BM125" s="168"/>
      <c r="BN125" s="168"/>
      <c r="BO125" s="168"/>
      <c r="BP125" s="168"/>
      <c r="BQ125" s="168"/>
      <c r="BR125" s="168"/>
    </row>
    <row r="126" spans="1:70" s="152" customFormat="1" x14ac:dyDescent="0.35">
      <c r="A126" s="154" t="s">
        <v>34</v>
      </c>
      <c r="B126" s="217">
        <v>1015</v>
      </c>
      <c r="C126" s="186">
        <v>1015</v>
      </c>
      <c r="D126" s="186">
        <v>1015</v>
      </c>
      <c r="E126" s="186">
        <v>1015</v>
      </c>
      <c r="F126" s="186">
        <v>1015</v>
      </c>
      <c r="G126" s="217">
        <v>1015</v>
      </c>
      <c r="H126" s="186">
        <v>1015</v>
      </c>
      <c r="I126" s="186">
        <v>1015</v>
      </c>
      <c r="J126" s="186">
        <v>1015</v>
      </c>
      <c r="K126" s="186">
        <v>1015</v>
      </c>
      <c r="L126" s="186">
        <v>1015</v>
      </c>
      <c r="M126" s="186">
        <v>1015</v>
      </c>
      <c r="N126" s="186">
        <v>1015</v>
      </c>
      <c r="O126" s="194">
        <f>SUM(B126:N126)</f>
        <v>13195</v>
      </c>
      <c r="P126" s="159"/>
      <c r="Q126" s="168"/>
      <c r="R126" s="147"/>
      <c r="S126" s="168"/>
      <c r="T126" s="168"/>
      <c r="U126" s="168"/>
      <c r="V126" s="168"/>
      <c r="W126" s="168"/>
      <c r="X126" s="168"/>
      <c r="Y126" s="168"/>
      <c r="Z126" s="168"/>
      <c r="AA126" s="168"/>
      <c r="AB126" s="168"/>
      <c r="AC126" s="168"/>
      <c r="AD126" s="151"/>
      <c r="AE126" s="168"/>
      <c r="AF126" s="168"/>
      <c r="AG126" s="168"/>
      <c r="AH126" s="151"/>
      <c r="AI126" s="168"/>
      <c r="AJ126" s="168"/>
      <c r="AK126" s="168"/>
      <c r="AL126" s="168"/>
      <c r="AM126" s="168"/>
      <c r="AN126" s="168"/>
      <c r="AO126" s="168"/>
      <c r="AP126" s="168"/>
      <c r="AQ126" s="168"/>
      <c r="AR126" s="168"/>
      <c r="AS126" s="168"/>
      <c r="AT126" s="168"/>
      <c r="AU126" s="168"/>
      <c r="AV126" s="168"/>
      <c r="AW126" s="168"/>
      <c r="AX126" s="168"/>
      <c r="AY126" s="168"/>
      <c r="AZ126" s="168"/>
      <c r="BA126" s="168"/>
      <c r="BB126" s="168"/>
      <c r="BC126" s="168"/>
      <c r="BD126" s="168"/>
      <c r="BE126" s="168"/>
      <c r="BF126" s="168"/>
      <c r="BG126" s="168"/>
      <c r="BH126" s="168"/>
      <c r="BI126" s="168"/>
      <c r="BJ126" s="168"/>
      <c r="BK126" s="168"/>
      <c r="BL126" s="168"/>
      <c r="BM126" s="168"/>
      <c r="BN126" s="168"/>
      <c r="BO126" s="168"/>
      <c r="BP126" s="168"/>
      <c r="BQ126" s="168"/>
      <c r="BR126" s="168"/>
    </row>
    <row r="127" spans="1:70" s="152" customFormat="1" x14ac:dyDescent="0.35">
      <c r="A127" s="187" t="s">
        <v>20</v>
      </c>
      <c r="B127" s="218">
        <f>'housing proportion projections'!I46</f>
        <v>167.89397131106429</v>
      </c>
      <c r="C127" s="186">
        <f>'housing proportion projections'!J46</f>
        <v>167.89397131106429</v>
      </c>
      <c r="D127" s="186">
        <f>'housing proportion projections'!K46</f>
        <v>167.89397131106429</v>
      </c>
      <c r="E127" s="186">
        <f>'housing proportion projections'!L46</f>
        <v>167.89397131106429</v>
      </c>
      <c r="F127" s="186">
        <f>'housing proportion projections'!M46</f>
        <v>167.89397131106429</v>
      </c>
      <c r="G127" s="218">
        <f>'housing proportion projections'!N46</f>
        <v>167.89397131106429</v>
      </c>
      <c r="H127" s="186">
        <f>'housing proportion projections'!O46</f>
        <v>167.89397131106429</v>
      </c>
      <c r="I127" s="186">
        <f>'housing proportion projections'!P46</f>
        <v>167.89397131106429</v>
      </c>
      <c r="J127" s="186">
        <f>'housing proportion projections'!Q46</f>
        <v>167.89397131106429</v>
      </c>
      <c r="K127" s="186">
        <f>'housing proportion projections'!R46</f>
        <v>167.89397131106429</v>
      </c>
      <c r="L127" s="186">
        <f>'housing proportion projections'!S46</f>
        <v>167.89397131106429</v>
      </c>
      <c r="M127" s="186">
        <f>'housing proportion projections'!T46</f>
        <v>167.89397131106429</v>
      </c>
      <c r="N127" s="186">
        <f>'housing proportion projections'!U46</f>
        <v>167.89397131106429</v>
      </c>
      <c r="O127" s="194">
        <f t="shared" ref="O127:O130" si="223">SUM(B127:N127)</f>
        <v>2182.6216270438354</v>
      </c>
      <c r="P127" s="159"/>
      <c r="Q127" s="168"/>
      <c r="R127" s="147"/>
      <c r="S127" s="168"/>
      <c r="T127" s="168"/>
      <c r="U127" s="168"/>
      <c r="V127" s="168"/>
      <c r="W127" s="168"/>
      <c r="X127" s="168"/>
      <c r="Y127" s="168"/>
      <c r="Z127" s="168"/>
      <c r="AA127" s="168"/>
      <c r="AB127" s="168"/>
      <c r="AC127" s="168"/>
      <c r="AD127" s="151"/>
      <c r="AE127" s="168"/>
      <c r="AF127" s="168"/>
      <c r="AG127" s="168"/>
      <c r="AH127" s="151"/>
      <c r="AI127" s="168"/>
      <c r="AJ127" s="168"/>
      <c r="AK127" s="168"/>
      <c r="AL127" s="168"/>
      <c r="AM127" s="168"/>
      <c r="AN127" s="168"/>
      <c r="AO127" s="168"/>
      <c r="AP127" s="168"/>
      <c r="AQ127" s="168"/>
      <c r="AR127" s="168"/>
      <c r="AS127" s="168"/>
      <c r="AT127" s="168"/>
      <c r="AU127" s="168"/>
      <c r="AV127" s="168"/>
      <c r="AW127" s="168"/>
      <c r="AX127" s="168"/>
      <c r="AY127" s="168"/>
      <c r="AZ127" s="168"/>
      <c r="BA127" s="168"/>
      <c r="BB127" s="168"/>
      <c r="BC127" s="168"/>
      <c r="BD127" s="168"/>
      <c r="BE127" s="168"/>
      <c r="BF127" s="168"/>
      <c r="BG127" s="168"/>
      <c r="BH127" s="168"/>
      <c r="BI127" s="168"/>
      <c r="BJ127" s="168"/>
      <c r="BK127" s="168"/>
      <c r="BL127" s="168"/>
      <c r="BM127" s="168"/>
      <c r="BN127" s="168"/>
      <c r="BO127" s="168"/>
      <c r="BP127" s="168"/>
      <c r="BQ127" s="168"/>
      <c r="BR127" s="168"/>
    </row>
    <row r="128" spans="1:70" s="158" customFormat="1" x14ac:dyDescent="0.35">
      <c r="A128" s="187" t="s">
        <v>21</v>
      </c>
      <c r="B128" s="218">
        <f>'housing proportion projections'!I47</f>
        <v>405.32801685224194</v>
      </c>
      <c r="C128" s="186">
        <f>'housing proportion projections'!J47</f>
        <v>405.32801685224194</v>
      </c>
      <c r="D128" s="186">
        <f>'housing proportion projections'!K47</f>
        <v>405.32801685224194</v>
      </c>
      <c r="E128" s="186">
        <f>'housing proportion projections'!L47</f>
        <v>405.32801685224194</v>
      </c>
      <c r="F128" s="186">
        <f>'housing proportion projections'!M47</f>
        <v>405.32801685224194</v>
      </c>
      <c r="G128" s="218">
        <f>'housing proportion projections'!N47</f>
        <v>405.32801685224194</v>
      </c>
      <c r="H128" s="186">
        <f>'housing proportion projections'!O47</f>
        <v>405.32801685224194</v>
      </c>
      <c r="I128" s="186">
        <f>'housing proportion projections'!P47</f>
        <v>405.32801685224194</v>
      </c>
      <c r="J128" s="186">
        <f>'housing proportion projections'!Q47</f>
        <v>405.32801685224194</v>
      </c>
      <c r="K128" s="186">
        <f>'housing proportion projections'!R47</f>
        <v>405.32801685224194</v>
      </c>
      <c r="L128" s="186">
        <f>'housing proportion projections'!S47</f>
        <v>405.32801685224194</v>
      </c>
      <c r="M128" s="186">
        <f>'housing proportion projections'!T47</f>
        <v>405.32801685224194</v>
      </c>
      <c r="N128" s="186">
        <f>'housing proportion projections'!U47</f>
        <v>405.32801685224194</v>
      </c>
      <c r="O128" s="194">
        <f t="shared" si="223"/>
        <v>5269.2642190791448</v>
      </c>
      <c r="P128" s="167"/>
      <c r="Q128" s="168"/>
      <c r="R128" s="147"/>
      <c r="S128" s="168"/>
      <c r="T128" s="168"/>
      <c r="U128" s="168"/>
      <c r="V128" s="168"/>
      <c r="W128" s="168"/>
      <c r="X128" s="168"/>
      <c r="Y128" s="168"/>
      <c r="Z128" s="168"/>
      <c r="AA128" s="168"/>
      <c r="AB128" s="168"/>
      <c r="AC128" s="168"/>
      <c r="AD128" s="151"/>
      <c r="AE128" s="168"/>
      <c r="AF128" s="168"/>
      <c r="AG128" s="168"/>
      <c r="AH128" s="151"/>
      <c r="AI128" s="168"/>
      <c r="AJ128" s="168"/>
      <c r="AK128" s="168"/>
      <c r="AL128" s="168"/>
      <c r="AM128" s="168"/>
      <c r="AN128" s="168"/>
      <c r="AO128" s="168"/>
      <c r="AP128" s="168"/>
      <c r="AQ128" s="168"/>
      <c r="AR128" s="168"/>
      <c r="AS128" s="168"/>
      <c r="AT128" s="168"/>
      <c r="AU128" s="168"/>
      <c r="AV128" s="168"/>
      <c r="AW128" s="168"/>
      <c r="AX128" s="168"/>
      <c r="AY128" s="168"/>
      <c r="AZ128" s="168"/>
      <c r="BA128" s="168"/>
      <c r="BB128" s="168"/>
      <c r="BC128" s="168"/>
      <c r="BD128" s="168"/>
      <c r="BE128" s="168"/>
      <c r="BF128" s="168"/>
      <c r="BG128" s="168"/>
      <c r="BH128" s="168"/>
      <c r="BI128" s="168"/>
      <c r="BJ128" s="168"/>
      <c r="BK128" s="168"/>
      <c r="BL128" s="168"/>
      <c r="BM128" s="168"/>
      <c r="BN128" s="168"/>
      <c r="BO128" s="168"/>
      <c r="BP128" s="168"/>
      <c r="BQ128" s="168"/>
      <c r="BR128" s="168"/>
    </row>
    <row r="129" spans="1:70" s="152" customFormat="1" ht="15" thickBot="1" x14ac:dyDescent="0.4">
      <c r="A129" s="187" t="s">
        <v>26</v>
      </c>
      <c r="B129" s="218">
        <f>'housing proportion projections'!I48</f>
        <v>227.76156083859968</v>
      </c>
      <c r="C129" s="186">
        <f>'housing proportion projections'!J48</f>
        <v>227.76156083859968</v>
      </c>
      <c r="D129" s="186">
        <f>'housing proportion projections'!K48</f>
        <v>227.76156083859968</v>
      </c>
      <c r="E129" s="186">
        <f>'housing proportion projections'!L48</f>
        <v>227.76156083859968</v>
      </c>
      <c r="F129" s="186">
        <f>'housing proportion projections'!M48</f>
        <v>227.76156083859968</v>
      </c>
      <c r="G129" s="218">
        <f>'housing proportion projections'!N48</f>
        <v>227.76156083859968</v>
      </c>
      <c r="H129" s="186">
        <f>'housing proportion projections'!O48</f>
        <v>227.76156083859968</v>
      </c>
      <c r="I129" s="186">
        <f>'housing proportion projections'!P48</f>
        <v>227.76156083859968</v>
      </c>
      <c r="J129" s="186">
        <f>'housing proportion projections'!Q48</f>
        <v>227.76156083859968</v>
      </c>
      <c r="K129" s="186">
        <f>'housing proportion projections'!R48</f>
        <v>227.76156083859968</v>
      </c>
      <c r="L129" s="186">
        <f>'housing proportion projections'!S48</f>
        <v>227.76156083859968</v>
      </c>
      <c r="M129" s="186">
        <f>'housing proportion projections'!T48</f>
        <v>227.76156083859968</v>
      </c>
      <c r="N129" s="186">
        <f>'housing proportion projections'!U48</f>
        <v>227.76156083859968</v>
      </c>
      <c r="O129" s="194">
        <f t="shared" si="223"/>
        <v>2960.9002909017954</v>
      </c>
      <c r="P129" s="159"/>
      <c r="Q129" s="168"/>
      <c r="R129" s="147"/>
      <c r="S129" s="168"/>
      <c r="T129" s="168"/>
      <c r="U129" s="168"/>
      <c r="V129" s="168"/>
      <c r="W129" s="168"/>
      <c r="X129" s="168"/>
      <c r="Y129" s="168"/>
      <c r="Z129" s="168"/>
      <c r="AA129" s="168"/>
      <c r="AB129" s="168"/>
      <c r="AC129" s="168"/>
      <c r="AD129" s="151"/>
      <c r="AE129" s="168"/>
      <c r="AF129" s="168"/>
      <c r="AG129" s="168"/>
      <c r="AH129" s="151"/>
      <c r="AI129" s="168"/>
      <c r="AJ129" s="168"/>
      <c r="AK129" s="168"/>
      <c r="AL129" s="168"/>
      <c r="AM129" s="168"/>
      <c r="AN129" s="168"/>
      <c r="AO129" s="168"/>
      <c r="AP129" s="168"/>
      <c r="AQ129" s="168"/>
      <c r="AR129" s="168"/>
      <c r="AS129" s="168"/>
      <c r="AT129" s="168"/>
      <c r="AU129" s="168"/>
      <c r="AV129" s="168"/>
      <c r="AW129" s="168"/>
      <c r="AX129" s="168"/>
      <c r="AY129" s="168"/>
      <c r="AZ129" s="168"/>
      <c r="BA129" s="168"/>
      <c r="BB129" s="168"/>
      <c r="BC129" s="168"/>
      <c r="BD129" s="168"/>
      <c r="BE129" s="168"/>
      <c r="BF129" s="168"/>
      <c r="BG129" s="168"/>
      <c r="BH129" s="168"/>
      <c r="BI129" s="168"/>
      <c r="BJ129" s="168"/>
      <c r="BK129" s="168"/>
      <c r="BL129" s="168"/>
      <c r="BM129" s="168"/>
      <c r="BN129" s="168"/>
      <c r="BO129" s="168"/>
      <c r="BP129" s="168"/>
      <c r="BQ129" s="168"/>
      <c r="BR129" s="168"/>
    </row>
    <row r="130" spans="1:70" s="156" customFormat="1" x14ac:dyDescent="0.35">
      <c r="A130" s="190" t="s">
        <v>22</v>
      </c>
      <c r="B130" s="218">
        <f>'housing proportion projections'!I49</f>
        <v>214.11826662654227</v>
      </c>
      <c r="C130" s="186">
        <f>'housing proportion projections'!J49</f>
        <v>214.11826662654227</v>
      </c>
      <c r="D130" s="186">
        <f>'housing proportion projections'!K49</f>
        <v>214.11826662654227</v>
      </c>
      <c r="E130" s="186">
        <f>'housing proportion projections'!L49</f>
        <v>214.11826662654227</v>
      </c>
      <c r="F130" s="186">
        <f>'housing proportion projections'!M49</f>
        <v>214.11826662654227</v>
      </c>
      <c r="G130" s="218">
        <f>'housing proportion projections'!N49</f>
        <v>214.11826662654227</v>
      </c>
      <c r="H130" s="186">
        <f>'housing proportion projections'!O49</f>
        <v>214.11826662654227</v>
      </c>
      <c r="I130" s="186">
        <f>'housing proportion projections'!P49</f>
        <v>214.11826662654227</v>
      </c>
      <c r="J130" s="186">
        <f>'housing proportion projections'!Q49</f>
        <v>214.11826662654227</v>
      </c>
      <c r="K130" s="186">
        <f>'housing proportion projections'!R49</f>
        <v>214.11826662654227</v>
      </c>
      <c r="L130" s="186">
        <f>'housing proportion projections'!S49</f>
        <v>214.11826662654227</v>
      </c>
      <c r="M130" s="186">
        <f>'housing proportion projections'!T49</f>
        <v>214.11826662654227</v>
      </c>
      <c r="N130" s="186">
        <f>'housing proportion projections'!U49</f>
        <v>214.11826662654227</v>
      </c>
      <c r="O130" s="194">
        <f t="shared" si="223"/>
        <v>2783.5374661450492</v>
      </c>
      <c r="P130" s="161"/>
      <c r="Q130" s="168"/>
      <c r="R130" s="147"/>
      <c r="S130" s="168"/>
      <c r="T130" s="168"/>
      <c r="U130" s="168"/>
      <c r="V130" s="168"/>
      <c r="W130" s="168"/>
      <c r="X130" s="168"/>
      <c r="Y130" s="168"/>
      <c r="Z130" s="168"/>
      <c r="AA130" s="168"/>
      <c r="AB130" s="168"/>
      <c r="AC130" s="168"/>
      <c r="AD130" s="151"/>
      <c r="AE130" s="168"/>
      <c r="AF130" s="168"/>
      <c r="AG130" s="168"/>
      <c r="AH130" s="151"/>
      <c r="AI130" s="168"/>
      <c r="AJ130" s="168"/>
      <c r="AK130" s="168"/>
      <c r="AL130" s="168"/>
      <c r="AM130" s="168"/>
      <c r="AN130" s="168"/>
      <c r="AO130" s="168"/>
      <c r="AP130" s="168"/>
      <c r="AQ130" s="168"/>
      <c r="AR130" s="168"/>
      <c r="AS130" s="168"/>
      <c r="AT130" s="168"/>
      <c r="AU130" s="168"/>
      <c r="AV130" s="168"/>
      <c r="AW130" s="168"/>
      <c r="AX130" s="168"/>
      <c r="AY130" s="168"/>
      <c r="AZ130" s="168"/>
      <c r="BA130" s="168"/>
      <c r="BB130" s="168"/>
      <c r="BC130" s="168"/>
      <c r="BD130" s="168"/>
      <c r="BE130" s="168"/>
      <c r="BF130" s="168"/>
      <c r="BG130" s="168"/>
      <c r="BH130" s="168"/>
      <c r="BI130" s="168"/>
      <c r="BJ130" s="168"/>
      <c r="BK130" s="168"/>
      <c r="BL130" s="168"/>
      <c r="BM130" s="168"/>
      <c r="BN130" s="168"/>
      <c r="BO130" s="168"/>
      <c r="BP130" s="168"/>
      <c r="BQ130" s="168"/>
      <c r="BR130" s="168"/>
    </row>
    <row r="131" spans="1:70" s="155" customFormat="1" ht="15" thickBot="1" x14ac:dyDescent="0.4">
      <c r="A131" s="179"/>
      <c r="B131" s="212"/>
      <c r="C131" s="179"/>
      <c r="D131" s="179"/>
      <c r="E131" s="179"/>
      <c r="F131" s="179"/>
      <c r="G131" s="212"/>
      <c r="H131" s="179"/>
      <c r="I131" s="179"/>
      <c r="J131" s="179"/>
      <c r="K131" s="179"/>
      <c r="L131" s="179"/>
      <c r="M131" s="179"/>
      <c r="N131" s="179"/>
      <c r="O131" s="179"/>
      <c r="P131" s="162"/>
      <c r="Q131" s="168"/>
      <c r="R131" s="147"/>
      <c r="S131" s="168"/>
      <c r="T131" s="168"/>
      <c r="U131" s="168"/>
      <c r="V131" s="168"/>
      <c r="W131" s="168"/>
      <c r="X131" s="168"/>
      <c r="Y131" s="168"/>
      <c r="Z131" s="168"/>
      <c r="AA131" s="168"/>
      <c r="AB131" s="168"/>
      <c r="AC131" s="168"/>
      <c r="AD131" s="151"/>
      <c r="AE131" s="168"/>
      <c r="AF131" s="168"/>
      <c r="AG131" s="168"/>
      <c r="AH131" s="151"/>
      <c r="AI131" s="168"/>
      <c r="AJ131" s="168"/>
      <c r="AK131" s="168"/>
      <c r="AL131" s="168"/>
      <c r="AM131" s="168"/>
      <c r="AN131" s="168"/>
      <c r="AO131" s="168"/>
      <c r="AP131" s="168"/>
      <c r="AQ131" s="168"/>
      <c r="AR131" s="168"/>
      <c r="AS131" s="168"/>
      <c r="AT131" s="168"/>
      <c r="AU131" s="168"/>
      <c r="AV131" s="168"/>
      <c r="AW131" s="168"/>
      <c r="AX131" s="168"/>
      <c r="AY131" s="168"/>
      <c r="AZ131" s="168"/>
      <c r="BA131" s="168"/>
      <c r="BB131" s="168"/>
      <c r="BC131" s="168"/>
      <c r="BD131" s="168"/>
      <c r="BE131" s="168"/>
      <c r="BF131" s="168"/>
      <c r="BG131" s="168"/>
      <c r="BH131" s="168"/>
      <c r="BI131" s="168"/>
      <c r="BJ131" s="168"/>
      <c r="BK131" s="168"/>
      <c r="BL131" s="168"/>
      <c r="BM131" s="168"/>
      <c r="BN131" s="168"/>
      <c r="BO131" s="168"/>
      <c r="BP131" s="168"/>
      <c r="BQ131" s="168"/>
      <c r="BR131" s="168"/>
    </row>
    <row r="132" spans="1:70" s="155" customFormat="1" x14ac:dyDescent="0.35">
      <c r="A132" s="191" t="s">
        <v>134</v>
      </c>
      <c r="B132" s="213"/>
      <c r="C132" s="192"/>
      <c r="D132" s="192"/>
      <c r="E132" s="192"/>
      <c r="F132" s="192"/>
      <c r="G132" s="213"/>
      <c r="H132" s="192"/>
      <c r="I132" s="192"/>
      <c r="J132" s="192"/>
      <c r="K132" s="192"/>
      <c r="L132" s="192"/>
      <c r="M132" s="192"/>
      <c r="N132" s="192"/>
      <c r="O132" s="192"/>
      <c r="P132" s="163"/>
      <c r="Q132" s="168"/>
      <c r="R132" s="147"/>
      <c r="S132" s="168"/>
      <c r="T132" s="168"/>
      <c r="U132" s="168"/>
      <c r="V132" s="168"/>
      <c r="W132" s="168"/>
      <c r="X132" s="168"/>
      <c r="Y132" s="168"/>
      <c r="Z132" s="168"/>
      <c r="AA132" s="168"/>
      <c r="AB132" s="168"/>
      <c r="AC132" s="168"/>
      <c r="AD132" s="151"/>
      <c r="AE132" s="168"/>
      <c r="AF132" s="168"/>
      <c r="AG132" s="168"/>
      <c r="AH132" s="151"/>
      <c r="AI132" s="168"/>
      <c r="AJ132" s="168"/>
      <c r="AK132" s="168"/>
      <c r="AL132" s="168"/>
      <c r="AM132" s="168"/>
      <c r="AN132" s="168"/>
      <c r="AO132" s="168"/>
      <c r="AP132" s="168"/>
      <c r="AQ132" s="168"/>
      <c r="AR132" s="168"/>
      <c r="AS132" s="168"/>
      <c r="AT132" s="168"/>
      <c r="AU132" s="168"/>
      <c r="AV132" s="168"/>
      <c r="AW132" s="168"/>
      <c r="AX132" s="168"/>
      <c r="AY132" s="168"/>
      <c r="AZ132" s="168"/>
      <c r="BA132" s="168"/>
      <c r="BB132" s="168"/>
      <c r="BC132" s="168"/>
      <c r="BD132" s="168"/>
      <c r="BE132" s="168"/>
      <c r="BF132" s="168"/>
      <c r="BG132" s="168"/>
      <c r="BH132" s="168"/>
      <c r="BI132" s="168"/>
      <c r="BJ132" s="168"/>
      <c r="BK132" s="168"/>
      <c r="BL132" s="168"/>
      <c r="BM132" s="168"/>
      <c r="BN132" s="168"/>
      <c r="BO132" s="168"/>
      <c r="BP132" s="168"/>
      <c r="BQ132" s="168"/>
      <c r="BR132" s="168"/>
    </row>
    <row r="133" spans="1:70" s="155" customFormat="1" x14ac:dyDescent="0.35">
      <c r="A133" s="193" t="s">
        <v>112</v>
      </c>
      <c r="B133" s="214">
        <f>((B127*$AE$28)+(B128*$AE$29)+(B129*$AE$30)+(B130*$AE$31))*30</f>
        <v>7793488.7982419245</v>
      </c>
      <c r="C133" s="214">
        <f t="shared" ref="C133:F133" si="224">((C127*$AE$28)+(C128*$AE$29)+(C129*$AE$30)+(C130*$AE$31))*30</f>
        <v>7793488.7982419245</v>
      </c>
      <c r="D133" s="214">
        <f t="shared" si="224"/>
        <v>7793488.7982419245</v>
      </c>
      <c r="E133" s="214">
        <f t="shared" si="224"/>
        <v>7793488.7982419245</v>
      </c>
      <c r="F133" s="214">
        <f t="shared" si="224"/>
        <v>7793488.7982419245</v>
      </c>
      <c r="G133" s="214">
        <f>((G127*$AI$28)+(G128*$AI$29)+(G129*$AI$30)+(G130*$AI$31))*30</f>
        <v>7700180.6799026225</v>
      </c>
      <c r="H133" s="214">
        <f t="shared" ref="H133:N133" si="225">((H127*$AI$28)+(H128*$AI$29)+(H129*$AI$30)+(H130*$AI$31))*30</f>
        <v>7700180.6799026225</v>
      </c>
      <c r="I133" s="214">
        <f t="shared" si="225"/>
        <v>7700180.6799026225</v>
      </c>
      <c r="J133" s="214">
        <f t="shared" si="225"/>
        <v>7700180.6799026225</v>
      </c>
      <c r="K133" s="214">
        <f t="shared" si="225"/>
        <v>7700180.6799026225</v>
      </c>
      <c r="L133" s="214">
        <f t="shared" si="225"/>
        <v>7700180.6799026225</v>
      </c>
      <c r="M133" s="214">
        <f t="shared" si="225"/>
        <v>7700180.6799026225</v>
      </c>
      <c r="N133" s="214">
        <f t="shared" si="225"/>
        <v>7700180.6799026225</v>
      </c>
      <c r="O133" s="214">
        <f>SUM(B133:N133)</f>
        <v>100568889.43043062</v>
      </c>
      <c r="P133" s="162"/>
      <c r="Q133" s="168"/>
      <c r="R133" s="147"/>
      <c r="S133" s="168"/>
      <c r="T133" s="168"/>
      <c r="U133" s="168"/>
      <c r="V133" s="168"/>
      <c r="W133" s="168"/>
      <c r="X133" s="168"/>
      <c r="Y133" s="168"/>
      <c r="Z133" s="168"/>
      <c r="AA133" s="168"/>
      <c r="AB133" s="168"/>
      <c r="AC133" s="168"/>
      <c r="AD133" s="151"/>
      <c r="AE133" s="168"/>
      <c r="AF133" s="168"/>
      <c r="AG133" s="168"/>
      <c r="AH133" s="151"/>
      <c r="AI133" s="168"/>
      <c r="AJ133" s="168"/>
      <c r="AK133" s="168"/>
      <c r="AL133" s="168"/>
      <c r="AM133" s="168"/>
      <c r="AN133" s="168"/>
      <c r="AO133" s="168"/>
      <c r="AP133" s="168"/>
      <c r="AQ133" s="168"/>
      <c r="AR133" s="168"/>
      <c r="AS133" s="168"/>
      <c r="AT133" s="168"/>
      <c r="AU133" s="168"/>
      <c r="AV133" s="168"/>
      <c r="AW133" s="168"/>
      <c r="AX133" s="168"/>
      <c r="AY133" s="168"/>
      <c r="AZ133" s="168"/>
      <c r="BA133" s="168"/>
      <c r="BB133" s="168"/>
      <c r="BC133" s="168"/>
      <c r="BD133" s="168"/>
      <c r="BE133" s="168"/>
      <c r="BF133" s="168"/>
      <c r="BG133" s="168"/>
      <c r="BH133" s="168"/>
      <c r="BI133" s="168"/>
      <c r="BJ133" s="168"/>
      <c r="BK133" s="168"/>
      <c r="BL133" s="168"/>
      <c r="BM133" s="168"/>
      <c r="BN133" s="168"/>
      <c r="BO133" s="168"/>
      <c r="BP133" s="168"/>
      <c r="BQ133" s="168"/>
      <c r="BR133" s="168"/>
    </row>
    <row r="134" spans="1:70" s="155" customFormat="1" x14ac:dyDescent="0.35">
      <c r="A134" s="193" t="s">
        <v>113</v>
      </c>
      <c r="B134" s="214">
        <f t="shared" ref="B134" si="226">B133/1000</f>
        <v>7793.4887982419241</v>
      </c>
      <c r="C134" s="214">
        <f t="shared" ref="C134" si="227">C133/1000</f>
        <v>7793.4887982419241</v>
      </c>
      <c r="D134" s="214">
        <f t="shared" ref="D134" si="228">D133/1000</f>
        <v>7793.4887982419241</v>
      </c>
      <c r="E134" s="214">
        <f t="shared" ref="E134" si="229">E133/1000</f>
        <v>7793.4887982419241</v>
      </c>
      <c r="F134" s="214">
        <f t="shared" ref="F134" si="230">F133/1000</f>
        <v>7793.4887982419241</v>
      </c>
      <c r="G134" s="214">
        <f t="shared" ref="G134" si="231">G133/1000</f>
        <v>7700.1806799026226</v>
      </c>
      <c r="H134" s="214">
        <f t="shared" ref="H134" si="232">H133/1000</f>
        <v>7700.1806799026226</v>
      </c>
      <c r="I134" s="214">
        <f t="shared" ref="I134" si="233">I133/1000</f>
        <v>7700.1806799026226</v>
      </c>
      <c r="J134" s="214">
        <f t="shared" ref="J134" si="234">J133/1000</f>
        <v>7700.1806799026226</v>
      </c>
      <c r="K134" s="214">
        <f t="shared" ref="K134" si="235">K133/1000</f>
        <v>7700.1806799026226</v>
      </c>
      <c r="L134" s="214">
        <f t="shared" ref="L134" si="236">L133/1000</f>
        <v>7700.1806799026226</v>
      </c>
      <c r="M134" s="214">
        <f t="shared" ref="M134" si="237">M133/1000</f>
        <v>7700.1806799026226</v>
      </c>
      <c r="N134" s="214">
        <f t="shared" ref="N134" si="238">N133/1000</f>
        <v>7700.1806799026226</v>
      </c>
      <c r="O134" s="214">
        <f t="shared" ref="O134" si="239">O133/1000</f>
        <v>100568.88943043062</v>
      </c>
      <c r="P134" s="162"/>
      <c r="Q134" s="168"/>
      <c r="R134" s="147"/>
      <c r="S134" s="168"/>
      <c r="T134" s="168"/>
      <c r="U134" s="168"/>
      <c r="V134" s="168"/>
      <c r="W134" s="168"/>
      <c r="X134" s="168"/>
      <c r="Y134" s="168"/>
      <c r="Z134" s="168"/>
      <c r="AA134" s="168"/>
      <c r="AB134" s="168"/>
      <c r="AC134" s="168"/>
      <c r="AD134" s="151"/>
      <c r="AE134" s="168"/>
      <c r="AF134" s="168"/>
      <c r="AG134" s="168"/>
      <c r="AH134" s="151"/>
      <c r="AI134" s="168"/>
      <c r="AJ134" s="168"/>
      <c r="AK134" s="168"/>
      <c r="AL134" s="168"/>
      <c r="AM134" s="168"/>
      <c r="AN134" s="168"/>
      <c r="AO134" s="168"/>
      <c r="AP134" s="168"/>
      <c r="AQ134" s="168"/>
      <c r="AR134" s="168"/>
      <c r="AS134" s="168"/>
      <c r="AT134" s="168"/>
      <c r="AU134" s="168"/>
      <c r="AV134" s="168"/>
      <c r="AW134" s="168"/>
      <c r="AX134" s="168"/>
      <c r="AY134" s="168"/>
      <c r="AZ134" s="168"/>
      <c r="BA134" s="168"/>
      <c r="BB134" s="168"/>
      <c r="BC134" s="168"/>
      <c r="BD134" s="168"/>
      <c r="BE134" s="168"/>
      <c r="BF134" s="168"/>
      <c r="BG134" s="168"/>
      <c r="BH134" s="168"/>
      <c r="BI134" s="168"/>
      <c r="BJ134" s="168"/>
      <c r="BK134" s="168"/>
      <c r="BL134" s="168"/>
      <c r="BM134" s="168"/>
      <c r="BN134" s="168"/>
      <c r="BO134" s="168"/>
      <c r="BP134" s="168"/>
      <c r="BQ134" s="168"/>
      <c r="BR134" s="168"/>
    </row>
    <row r="135" spans="1:70" s="157" customFormat="1" ht="15" thickBot="1" x14ac:dyDescent="0.4">
      <c r="A135" s="193" t="s">
        <v>64</v>
      </c>
      <c r="B135" s="215">
        <f t="shared" ref="B135" si="240">B134*$AB$2</f>
        <v>1558697.7596483848</v>
      </c>
      <c r="C135" s="215">
        <f t="shared" ref="C135" si="241">C134*$AB$2</f>
        <v>1558697.7596483848</v>
      </c>
      <c r="D135" s="215">
        <f t="shared" ref="D135" si="242">D134*$AB$2</f>
        <v>1558697.7596483848</v>
      </c>
      <c r="E135" s="215">
        <f t="shared" ref="E135" si="243">E134*$AB$2</f>
        <v>1558697.7596483848</v>
      </c>
      <c r="F135" s="215">
        <f t="shared" ref="F135" si="244">F134*$AB$2</f>
        <v>1558697.7596483848</v>
      </c>
      <c r="G135" s="215">
        <f t="shared" ref="G135" si="245">G134*$AB$2</f>
        <v>1540036.1359805246</v>
      </c>
      <c r="H135" s="215">
        <f t="shared" ref="H135" si="246">H134*$AB$2</f>
        <v>1540036.1359805246</v>
      </c>
      <c r="I135" s="215">
        <f t="shared" ref="I135" si="247">I134*$AB$2</f>
        <v>1540036.1359805246</v>
      </c>
      <c r="J135" s="215">
        <f t="shared" ref="J135" si="248">J134*$AB$2</f>
        <v>1540036.1359805246</v>
      </c>
      <c r="K135" s="215">
        <f t="shared" ref="K135" si="249">K134*$AB$2</f>
        <v>1540036.1359805246</v>
      </c>
      <c r="L135" s="215">
        <f t="shared" ref="L135" si="250">L134*$AB$2</f>
        <v>1540036.1359805246</v>
      </c>
      <c r="M135" s="215">
        <f t="shared" ref="M135" si="251">M134*$AB$2</f>
        <v>1540036.1359805246</v>
      </c>
      <c r="N135" s="215">
        <f t="shared" ref="N135" si="252">N134*$AB$2</f>
        <v>1540036.1359805246</v>
      </c>
      <c r="O135" s="215">
        <f t="shared" ref="O135" si="253">O134*$AB$2</f>
        <v>20113777.886086125</v>
      </c>
      <c r="P135" s="164"/>
      <c r="Q135" s="168"/>
      <c r="R135" s="147"/>
      <c r="S135" s="168"/>
      <c r="T135" s="168"/>
      <c r="U135" s="168"/>
      <c r="V135" s="168"/>
      <c r="W135" s="168"/>
      <c r="X135" s="168"/>
      <c r="Y135" s="168"/>
      <c r="Z135" s="168"/>
      <c r="AA135" s="168"/>
      <c r="AB135" s="168"/>
      <c r="AC135" s="168"/>
      <c r="AD135" s="151"/>
      <c r="AE135" s="168"/>
      <c r="AF135" s="168"/>
      <c r="AG135" s="168"/>
      <c r="AH135" s="151"/>
      <c r="AI135" s="168"/>
      <c r="AJ135" s="168"/>
      <c r="AK135" s="168"/>
      <c r="AL135" s="168"/>
      <c r="AM135" s="168"/>
      <c r="AN135" s="168"/>
      <c r="AO135" s="168"/>
      <c r="AP135" s="168"/>
      <c r="AQ135" s="168"/>
      <c r="AR135" s="168"/>
      <c r="AS135" s="168"/>
      <c r="AT135" s="168"/>
      <c r="AU135" s="168"/>
      <c r="AV135" s="168"/>
      <c r="AW135" s="168"/>
      <c r="AX135" s="168"/>
      <c r="AY135" s="168"/>
      <c r="AZ135" s="168"/>
      <c r="BA135" s="168"/>
      <c r="BB135" s="168"/>
      <c r="BC135" s="168"/>
      <c r="BD135" s="168"/>
      <c r="BE135" s="168"/>
      <c r="BF135" s="168"/>
      <c r="BG135" s="168"/>
      <c r="BH135" s="168"/>
      <c r="BI135" s="168"/>
      <c r="BJ135" s="168"/>
      <c r="BK135" s="168"/>
      <c r="BL135" s="168"/>
      <c r="BM135" s="168"/>
      <c r="BN135" s="168"/>
      <c r="BO135" s="168"/>
      <c r="BP135" s="168"/>
      <c r="BQ135" s="168"/>
      <c r="BR135" s="168"/>
    </row>
    <row r="136" spans="1:70" s="152" customFormat="1" x14ac:dyDescent="0.35">
      <c r="A136" s="193"/>
      <c r="B136" s="214"/>
      <c r="C136" s="194"/>
      <c r="D136" s="194"/>
      <c r="E136" s="194"/>
      <c r="F136" s="194"/>
      <c r="G136" s="214"/>
      <c r="H136" s="194"/>
      <c r="I136" s="194"/>
      <c r="J136" s="194"/>
      <c r="K136" s="194"/>
      <c r="L136" s="194"/>
      <c r="M136" s="194"/>
      <c r="N136" s="194"/>
      <c r="O136" s="194"/>
      <c r="P136" s="159"/>
      <c r="Q136" s="168"/>
      <c r="R136" s="147"/>
      <c r="S136" s="168"/>
      <c r="T136" s="168"/>
      <c r="U136" s="168"/>
      <c r="V136" s="168"/>
      <c r="W136" s="168"/>
      <c r="X136" s="168"/>
      <c r="Y136" s="168"/>
      <c r="Z136" s="168"/>
      <c r="AA136" s="168"/>
      <c r="AB136" s="168"/>
      <c r="AC136" s="168"/>
      <c r="AD136" s="151"/>
      <c r="AE136" s="168"/>
      <c r="AF136" s="168"/>
      <c r="AG136" s="168"/>
      <c r="AH136" s="151"/>
      <c r="AI136" s="168"/>
      <c r="AJ136" s="168"/>
      <c r="AK136" s="168"/>
      <c r="AL136" s="168"/>
      <c r="AM136" s="168"/>
      <c r="AN136" s="168"/>
      <c r="AO136" s="168"/>
      <c r="AP136" s="168"/>
      <c r="AQ136" s="168"/>
      <c r="AR136" s="168"/>
      <c r="AS136" s="168"/>
      <c r="AT136" s="168"/>
      <c r="AU136" s="168"/>
      <c r="AV136" s="168"/>
      <c r="AW136" s="168"/>
      <c r="AX136" s="168"/>
      <c r="AY136" s="168"/>
      <c r="AZ136" s="168"/>
      <c r="BA136" s="168"/>
      <c r="BB136" s="168"/>
      <c r="BC136" s="168"/>
      <c r="BD136" s="168"/>
      <c r="BE136" s="168"/>
      <c r="BF136" s="168"/>
      <c r="BG136" s="168"/>
      <c r="BH136" s="168"/>
      <c r="BI136" s="168"/>
      <c r="BJ136" s="168"/>
      <c r="BK136" s="168"/>
      <c r="BL136" s="168"/>
      <c r="BM136" s="168"/>
      <c r="BN136" s="168"/>
      <c r="BO136" s="168"/>
      <c r="BP136" s="168"/>
      <c r="BQ136" s="168"/>
      <c r="BR136" s="168"/>
    </row>
    <row r="137" spans="1:70" s="152" customFormat="1" ht="15" thickBot="1" x14ac:dyDescent="0.4">
      <c r="A137" s="197"/>
      <c r="B137" s="216"/>
      <c r="C137" s="198"/>
      <c r="D137" s="198"/>
      <c r="E137" s="198"/>
      <c r="F137" s="198"/>
      <c r="G137" s="216"/>
      <c r="H137" s="198"/>
      <c r="I137" s="198"/>
      <c r="J137" s="198"/>
      <c r="K137" s="198"/>
      <c r="L137" s="198"/>
      <c r="M137" s="198"/>
      <c r="N137" s="198"/>
      <c r="O137" s="198"/>
      <c r="P137" s="159"/>
      <c r="Q137" s="168"/>
      <c r="R137" s="147"/>
      <c r="S137" s="168"/>
      <c r="T137" s="168"/>
      <c r="U137" s="168"/>
      <c r="V137" s="168"/>
      <c r="W137" s="168"/>
      <c r="X137" s="168"/>
      <c r="Y137" s="168"/>
      <c r="Z137" s="168"/>
      <c r="AA137" s="168"/>
      <c r="AB137" s="168"/>
      <c r="AC137" s="168"/>
      <c r="AD137" s="151"/>
      <c r="AE137" s="168"/>
      <c r="AF137" s="168"/>
      <c r="AG137" s="168"/>
      <c r="AH137" s="151"/>
      <c r="AI137" s="168"/>
      <c r="AJ137" s="168"/>
      <c r="AK137" s="168"/>
      <c r="AL137" s="168"/>
      <c r="AM137" s="168"/>
      <c r="AN137" s="168"/>
      <c r="AO137" s="168"/>
      <c r="AP137" s="168"/>
      <c r="AQ137" s="168"/>
      <c r="AR137" s="168"/>
      <c r="AS137" s="168"/>
      <c r="AT137" s="168"/>
      <c r="AU137" s="168"/>
      <c r="AV137" s="168"/>
      <c r="AW137" s="168"/>
      <c r="AX137" s="168"/>
      <c r="AY137" s="168"/>
      <c r="AZ137" s="168"/>
      <c r="BA137" s="168"/>
      <c r="BB137" s="168"/>
      <c r="BC137" s="168"/>
      <c r="BD137" s="168"/>
      <c r="BE137" s="168"/>
      <c r="BF137" s="168"/>
      <c r="BG137" s="168"/>
      <c r="BH137" s="168"/>
      <c r="BI137" s="168"/>
      <c r="BJ137" s="168"/>
      <c r="BK137" s="168"/>
      <c r="BL137" s="168"/>
      <c r="BM137" s="168"/>
      <c r="BN137" s="168"/>
      <c r="BO137" s="168"/>
      <c r="BP137" s="168"/>
      <c r="BQ137" s="168"/>
      <c r="BR137" s="168"/>
    </row>
    <row r="138" spans="1:70" s="152" customFormat="1" x14ac:dyDescent="0.35">
      <c r="A138" s="179"/>
      <c r="B138" s="212"/>
      <c r="C138" s="179"/>
      <c r="D138" s="179"/>
      <c r="E138" s="179"/>
      <c r="F138" s="179"/>
      <c r="G138" s="212"/>
      <c r="H138" s="179"/>
      <c r="I138" s="179"/>
      <c r="J138" s="179"/>
      <c r="K138" s="179"/>
      <c r="L138" s="179"/>
      <c r="M138" s="179"/>
      <c r="N138" s="179"/>
      <c r="O138" s="179"/>
      <c r="P138" s="159"/>
      <c r="Q138" s="168"/>
      <c r="R138" s="147"/>
      <c r="S138" s="168"/>
      <c r="T138" s="168"/>
      <c r="U138" s="168"/>
      <c r="V138" s="168"/>
      <c r="W138" s="168"/>
      <c r="X138" s="168"/>
      <c r="Y138" s="168"/>
      <c r="Z138" s="168"/>
      <c r="AA138" s="168"/>
      <c r="AB138" s="168"/>
      <c r="AC138" s="168"/>
      <c r="AD138" s="151"/>
      <c r="AE138" s="168"/>
      <c r="AF138" s="168"/>
      <c r="AG138" s="168"/>
      <c r="AH138" s="151"/>
      <c r="AI138" s="168"/>
      <c r="AJ138" s="168"/>
      <c r="AK138" s="168"/>
      <c r="AL138" s="168"/>
      <c r="AM138" s="168"/>
      <c r="AN138" s="168"/>
      <c r="AO138" s="168"/>
      <c r="AP138" s="168"/>
      <c r="AQ138" s="168"/>
      <c r="AR138" s="168"/>
      <c r="AS138" s="168"/>
      <c r="AT138" s="168"/>
      <c r="AU138" s="168"/>
      <c r="AV138" s="168"/>
      <c r="AW138" s="168"/>
      <c r="AX138" s="168"/>
      <c r="AY138" s="168"/>
      <c r="AZ138" s="168"/>
      <c r="BA138" s="168"/>
      <c r="BB138" s="168"/>
      <c r="BC138" s="168"/>
      <c r="BD138" s="168"/>
      <c r="BE138" s="168"/>
      <c r="BF138" s="168"/>
      <c r="BG138" s="168"/>
      <c r="BH138" s="168"/>
      <c r="BI138" s="168"/>
      <c r="BJ138" s="168"/>
      <c r="BK138" s="168"/>
      <c r="BL138" s="168"/>
      <c r="BM138" s="168"/>
      <c r="BN138" s="168"/>
      <c r="BO138" s="168"/>
      <c r="BP138" s="168"/>
      <c r="BQ138" s="168"/>
      <c r="BR138" s="168"/>
    </row>
    <row r="139" spans="1:70" s="152" customFormat="1" x14ac:dyDescent="0.35">
      <c r="A139" s="179"/>
      <c r="B139" s="212"/>
      <c r="C139" s="179"/>
      <c r="D139" s="179"/>
      <c r="E139" s="179"/>
      <c r="F139" s="179"/>
      <c r="G139" s="212"/>
      <c r="H139" s="179"/>
      <c r="I139" s="179"/>
      <c r="J139" s="179"/>
      <c r="K139" s="179"/>
      <c r="L139" s="179"/>
      <c r="M139" s="179"/>
      <c r="N139" s="179"/>
      <c r="O139" s="179"/>
      <c r="P139" s="160"/>
      <c r="Q139" s="168"/>
      <c r="R139" s="147"/>
      <c r="S139" s="168"/>
      <c r="T139" s="168"/>
      <c r="U139" s="168"/>
      <c r="V139" s="168"/>
      <c r="W139" s="168"/>
      <c r="X139" s="168"/>
      <c r="Y139" s="168"/>
      <c r="Z139" s="168"/>
      <c r="AA139" s="168"/>
      <c r="AB139" s="168"/>
      <c r="AC139" s="168"/>
      <c r="AD139" s="151"/>
      <c r="AE139" s="168"/>
      <c r="AF139" s="168"/>
      <c r="AG139" s="168"/>
      <c r="AH139" s="151"/>
      <c r="AI139" s="168"/>
      <c r="AJ139" s="168"/>
      <c r="AK139" s="168"/>
      <c r="AL139" s="168"/>
      <c r="AM139" s="168"/>
      <c r="AN139" s="168"/>
      <c r="AO139" s="168"/>
      <c r="AP139" s="168"/>
      <c r="AQ139" s="168"/>
      <c r="AR139" s="168"/>
      <c r="AS139" s="168"/>
      <c r="AT139" s="168"/>
      <c r="AU139" s="168"/>
      <c r="AV139" s="168"/>
      <c r="AW139" s="168"/>
      <c r="AX139" s="168"/>
      <c r="AY139" s="168"/>
      <c r="AZ139" s="168"/>
      <c r="BA139" s="168"/>
      <c r="BB139" s="168"/>
      <c r="BC139" s="168"/>
      <c r="BD139" s="168"/>
      <c r="BE139" s="168"/>
      <c r="BF139" s="168"/>
      <c r="BG139" s="168"/>
      <c r="BH139" s="168"/>
      <c r="BI139" s="168"/>
      <c r="BJ139" s="168"/>
      <c r="BK139" s="168"/>
      <c r="BL139" s="168"/>
      <c r="BM139" s="168"/>
      <c r="BN139" s="168"/>
      <c r="BO139" s="168"/>
      <c r="BP139" s="168"/>
      <c r="BQ139" s="168"/>
      <c r="BR139" s="168"/>
    </row>
    <row r="140" spans="1:70" s="152" customFormat="1" x14ac:dyDescent="0.35">
      <c r="A140" s="180" t="s">
        <v>0</v>
      </c>
      <c r="B140" s="209" t="s">
        <v>7</v>
      </c>
      <c r="C140" s="182" t="s">
        <v>8</v>
      </c>
      <c r="D140" s="182" t="s">
        <v>9</v>
      </c>
      <c r="E140" s="182" t="s">
        <v>10</v>
      </c>
      <c r="F140" s="182" t="s">
        <v>11</v>
      </c>
      <c r="G140" s="209" t="s">
        <v>12</v>
      </c>
      <c r="H140" s="182" t="s">
        <v>13</v>
      </c>
      <c r="I140" s="182" t="s">
        <v>14</v>
      </c>
      <c r="J140" s="182" t="s">
        <v>15</v>
      </c>
      <c r="K140" s="182" t="s">
        <v>16</v>
      </c>
      <c r="L140" s="183" t="s">
        <v>17</v>
      </c>
      <c r="M140" s="184" t="s">
        <v>23</v>
      </c>
      <c r="N140" s="184" t="s">
        <v>24</v>
      </c>
      <c r="O140" s="185" t="s">
        <v>18</v>
      </c>
      <c r="P140" s="159"/>
      <c r="Q140" s="168"/>
      <c r="R140" s="147"/>
      <c r="S140" s="168"/>
      <c r="T140" s="168"/>
      <c r="U140" s="168"/>
      <c r="V140" s="168"/>
      <c r="W140" s="168"/>
      <c r="X140" s="168"/>
      <c r="Y140" s="168"/>
      <c r="Z140" s="168"/>
      <c r="AA140" s="168"/>
      <c r="AB140" s="168"/>
      <c r="AC140" s="168"/>
      <c r="AD140" s="151"/>
      <c r="AE140" s="168"/>
      <c r="AF140" s="168"/>
      <c r="AG140" s="168"/>
      <c r="AH140" s="151"/>
      <c r="AI140" s="168"/>
      <c r="AJ140" s="168"/>
      <c r="AK140" s="168"/>
      <c r="AL140" s="168"/>
      <c r="AM140" s="168"/>
      <c r="AN140" s="168"/>
      <c r="AO140" s="168"/>
      <c r="AP140" s="168"/>
      <c r="AQ140" s="168"/>
      <c r="AR140" s="168"/>
      <c r="AS140" s="168"/>
      <c r="AT140" s="168"/>
      <c r="AU140" s="168"/>
      <c r="AV140" s="168"/>
      <c r="AW140" s="168"/>
      <c r="AX140" s="168"/>
      <c r="AY140" s="168"/>
      <c r="AZ140" s="168"/>
      <c r="BA140" s="168"/>
      <c r="BB140" s="168"/>
      <c r="BC140" s="168"/>
      <c r="BD140" s="168"/>
      <c r="BE140" s="168"/>
      <c r="BF140" s="168"/>
      <c r="BG140" s="168"/>
      <c r="BH140" s="168"/>
      <c r="BI140" s="168"/>
      <c r="BJ140" s="168"/>
      <c r="BK140" s="168"/>
      <c r="BL140" s="168"/>
      <c r="BM140" s="168"/>
      <c r="BN140" s="168"/>
      <c r="BO140" s="168"/>
      <c r="BP140" s="168"/>
      <c r="BQ140" s="168"/>
      <c r="BR140" s="168"/>
    </row>
    <row r="141" spans="1:70" s="152" customFormat="1" x14ac:dyDescent="0.35">
      <c r="A141" s="154" t="s">
        <v>35</v>
      </c>
      <c r="B141" s="217">
        <v>1126</v>
      </c>
      <c r="C141" s="186">
        <v>1126</v>
      </c>
      <c r="D141" s="186">
        <v>1126</v>
      </c>
      <c r="E141" s="186">
        <v>1126</v>
      </c>
      <c r="F141" s="186">
        <v>1126</v>
      </c>
      <c r="G141" s="217">
        <v>1126</v>
      </c>
      <c r="H141" s="186">
        <v>1126</v>
      </c>
      <c r="I141" s="186">
        <v>1126</v>
      </c>
      <c r="J141" s="186">
        <v>1126</v>
      </c>
      <c r="K141" s="186">
        <v>1126</v>
      </c>
      <c r="L141" s="186">
        <v>1126</v>
      </c>
      <c r="M141" s="186">
        <v>1126</v>
      </c>
      <c r="N141" s="186">
        <v>1126</v>
      </c>
      <c r="O141" s="194">
        <f>SUM(B141:N141)</f>
        <v>14638</v>
      </c>
      <c r="P141" s="159"/>
      <c r="Q141" s="168"/>
      <c r="R141" s="147"/>
      <c r="S141" s="168"/>
      <c r="T141" s="168"/>
      <c r="U141" s="168"/>
      <c r="V141" s="168"/>
      <c r="W141" s="168"/>
      <c r="X141" s="168"/>
      <c r="Y141" s="168"/>
      <c r="Z141" s="168"/>
      <c r="AA141" s="168"/>
      <c r="AB141" s="168"/>
      <c r="AC141" s="168"/>
      <c r="AD141" s="151"/>
      <c r="AE141" s="168"/>
      <c r="AF141" s="168"/>
      <c r="AG141" s="168"/>
      <c r="AH141" s="151"/>
      <c r="AI141" s="168"/>
      <c r="AJ141" s="168"/>
      <c r="AK141" s="168"/>
      <c r="AL141" s="168"/>
      <c r="AM141" s="168"/>
      <c r="AN141" s="168"/>
      <c r="AO141" s="168"/>
      <c r="AP141" s="168"/>
      <c r="AQ141" s="168"/>
      <c r="AR141" s="168"/>
      <c r="AS141" s="168"/>
      <c r="AT141" s="168"/>
      <c r="AU141" s="168"/>
      <c r="AV141" s="168"/>
      <c r="AW141" s="168"/>
      <c r="AX141" s="168"/>
      <c r="AY141" s="168"/>
      <c r="AZ141" s="168"/>
      <c r="BA141" s="168"/>
      <c r="BB141" s="168"/>
      <c r="BC141" s="168"/>
      <c r="BD141" s="168"/>
      <c r="BE141" s="168"/>
      <c r="BF141" s="168"/>
      <c r="BG141" s="168"/>
      <c r="BH141" s="168"/>
      <c r="BI141" s="168"/>
      <c r="BJ141" s="168"/>
      <c r="BK141" s="168"/>
      <c r="BL141" s="168"/>
      <c r="BM141" s="168"/>
      <c r="BN141" s="168"/>
      <c r="BO141" s="168"/>
      <c r="BP141" s="168"/>
      <c r="BQ141" s="168"/>
      <c r="BR141" s="168"/>
    </row>
    <row r="142" spans="1:70" s="152" customFormat="1" x14ac:dyDescent="0.35">
      <c r="A142" s="187" t="s">
        <v>20</v>
      </c>
      <c r="B142" s="218">
        <f>'housing proportion projections'!I51</f>
        <v>287.76509741385291</v>
      </c>
      <c r="C142" s="186">
        <f>'housing proportion projections'!J51</f>
        <v>287.76509741385291</v>
      </c>
      <c r="D142" s="186">
        <f>'housing proportion projections'!K51</f>
        <v>287.76509741385291</v>
      </c>
      <c r="E142" s="186">
        <f>'housing proportion projections'!L51</f>
        <v>287.76509741385291</v>
      </c>
      <c r="F142" s="186">
        <f>'housing proportion projections'!M51</f>
        <v>287.76509741385291</v>
      </c>
      <c r="G142" s="218">
        <f>'housing proportion projections'!N51</f>
        <v>287.76509741385291</v>
      </c>
      <c r="H142" s="186">
        <f>'housing proportion projections'!O51</f>
        <v>287.76509741385291</v>
      </c>
      <c r="I142" s="186">
        <f>'housing proportion projections'!P51</f>
        <v>287.76509741385291</v>
      </c>
      <c r="J142" s="186">
        <f>'housing proportion projections'!Q51</f>
        <v>287.76509741385291</v>
      </c>
      <c r="K142" s="186">
        <f>'housing proportion projections'!R51</f>
        <v>287.76509741385291</v>
      </c>
      <c r="L142" s="186">
        <f>'housing proportion projections'!S51</f>
        <v>287.76509741385291</v>
      </c>
      <c r="M142" s="186">
        <f>'housing proportion projections'!T51</f>
        <v>287.76509741385291</v>
      </c>
      <c r="N142" s="186">
        <f>'housing proportion projections'!U51</f>
        <v>287.76509741385291</v>
      </c>
      <c r="O142" s="194">
        <f t="shared" ref="O142:O145" si="254">SUM(B142:N142)</f>
        <v>3740.9462663800869</v>
      </c>
      <c r="P142" s="159"/>
      <c r="Q142" s="168"/>
      <c r="R142" s="147"/>
      <c r="S142" s="168"/>
      <c r="T142" s="168"/>
      <c r="U142" s="168"/>
      <c r="V142" s="168"/>
      <c r="W142" s="168"/>
      <c r="X142" s="168"/>
      <c r="Y142" s="168"/>
      <c r="Z142" s="168"/>
      <c r="AA142" s="168"/>
      <c r="AB142" s="168"/>
      <c r="AC142" s="168"/>
      <c r="AD142" s="151"/>
      <c r="AE142" s="168"/>
      <c r="AF142" s="168"/>
      <c r="AG142" s="168"/>
      <c r="AH142" s="151"/>
      <c r="AI142" s="168"/>
      <c r="AJ142" s="168"/>
      <c r="AK142" s="168"/>
      <c r="AL142" s="168"/>
      <c r="AM142" s="168"/>
      <c r="AN142" s="168"/>
      <c r="AO142" s="168"/>
      <c r="AP142" s="168"/>
      <c r="AQ142" s="168"/>
      <c r="AR142" s="168"/>
      <c r="AS142" s="168"/>
      <c r="AT142" s="168"/>
      <c r="AU142" s="168"/>
      <c r="AV142" s="168"/>
      <c r="AW142" s="168"/>
      <c r="AX142" s="168"/>
      <c r="AY142" s="168"/>
      <c r="AZ142" s="168"/>
      <c r="BA142" s="168"/>
      <c r="BB142" s="168"/>
      <c r="BC142" s="168"/>
      <c r="BD142" s="168"/>
      <c r="BE142" s="168"/>
      <c r="BF142" s="168"/>
      <c r="BG142" s="168"/>
      <c r="BH142" s="168"/>
      <c r="BI142" s="168"/>
      <c r="BJ142" s="168"/>
      <c r="BK142" s="168"/>
      <c r="BL142" s="168"/>
      <c r="BM142" s="168"/>
      <c r="BN142" s="168"/>
      <c r="BO142" s="168"/>
      <c r="BP142" s="168"/>
      <c r="BQ142" s="168"/>
      <c r="BR142" s="168"/>
    </row>
    <row r="143" spans="1:70" s="158" customFormat="1" x14ac:dyDescent="0.35">
      <c r="A143" s="187" t="s">
        <v>21</v>
      </c>
      <c r="B143" s="218">
        <f>'housing proportion projections'!I52</f>
        <v>403.93288497538651</v>
      </c>
      <c r="C143" s="186">
        <f>'housing proportion projections'!J52</f>
        <v>403.93288497538651</v>
      </c>
      <c r="D143" s="186">
        <f>'housing proportion projections'!K52</f>
        <v>403.93288497538651</v>
      </c>
      <c r="E143" s="186">
        <f>'housing proportion projections'!L52</f>
        <v>403.93288497538651</v>
      </c>
      <c r="F143" s="186">
        <f>'housing proportion projections'!M52</f>
        <v>403.93288497538651</v>
      </c>
      <c r="G143" s="218">
        <f>'housing proportion projections'!N52</f>
        <v>403.93288497538651</v>
      </c>
      <c r="H143" s="186">
        <f>'housing proportion projections'!O52</f>
        <v>403.93288497538651</v>
      </c>
      <c r="I143" s="186">
        <f>'housing proportion projections'!P52</f>
        <v>403.93288497538651</v>
      </c>
      <c r="J143" s="186">
        <f>'housing proportion projections'!Q52</f>
        <v>403.93288497538651</v>
      </c>
      <c r="K143" s="186">
        <f>'housing proportion projections'!R52</f>
        <v>403.93288497538651</v>
      </c>
      <c r="L143" s="186">
        <f>'housing proportion projections'!S52</f>
        <v>403.93288497538651</v>
      </c>
      <c r="M143" s="186">
        <f>'housing proportion projections'!T52</f>
        <v>403.93288497538651</v>
      </c>
      <c r="N143" s="186">
        <f>'housing proportion projections'!U52</f>
        <v>403.93288497538651</v>
      </c>
      <c r="O143" s="194">
        <f t="shared" si="254"/>
        <v>5251.1275046800247</v>
      </c>
      <c r="P143" s="167"/>
      <c r="Q143" s="168"/>
      <c r="R143" s="147"/>
      <c r="S143" s="168"/>
      <c r="T143" s="168"/>
      <c r="U143" s="168"/>
      <c r="V143" s="168"/>
      <c r="W143" s="168"/>
      <c r="X143" s="168"/>
      <c r="Y143" s="168"/>
      <c r="Z143" s="168"/>
      <c r="AA143" s="168"/>
      <c r="AB143" s="168"/>
      <c r="AC143" s="168"/>
      <c r="AD143" s="151"/>
      <c r="AE143" s="168"/>
      <c r="AF143" s="168"/>
      <c r="AG143" s="168"/>
      <c r="AH143" s="151"/>
      <c r="AI143" s="168"/>
      <c r="AJ143" s="168"/>
      <c r="AK143" s="168"/>
      <c r="AL143" s="168"/>
      <c r="AM143" s="168"/>
      <c r="AN143" s="168"/>
      <c r="AO143" s="168"/>
      <c r="AP143" s="168"/>
      <c r="AQ143" s="168"/>
      <c r="AR143" s="168"/>
      <c r="AS143" s="168"/>
      <c r="AT143" s="168"/>
      <c r="AU143" s="168"/>
      <c r="AV143" s="168"/>
      <c r="AW143" s="168"/>
      <c r="AX143" s="168"/>
      <c r="AY143" s="168"/>
      <c r="AZ143" s="168"/>
      <c r="BA143" s="168"/>
      <c r="BB143" s="168"/>
      <c r="BC143" s="168"/>
      <c r="BD143" s="168"/>
      <c r="BE143" s="168"/>
      <c r="BF143" s="168"/>
      <c r="BG143" s="168"/>
      <c r="BH143" s="168"/>
      <c r="BI143" s="168"/>
      <c r="BJ143" s="168"/>
      <c r="BK143" s="168"/>
      <c r="BL143" s="168"/>
      <c r="BM143" s="168"/>
      <c r="BN143" s="168"/>
      <c r="BO143" s="168"/>
      <c r="BP143" s="168"/>
      <c r="BQ143" s="168"/>
      <c r="BR143" s="168"/>
    </row>
    <row r="144" spans="1:70" s="152" customFormat="1" ht="15" thickBot="1" x14ac:dyDescent="0.4">
      <c r="A144" s="187" t="s">
        <v>26</v>
      </c>
      <c r="B144" s="218">
        <f>'housing proportion projections'!I53</f>
        <v>325.62892602093882</v>
      </c>
      <c r="C144" s="186">
        <f>'housing proportion projections'!J53</f>
        <v>325.62892602093882</v>
      </c>
      <c r="D144" s="186">
        <f>'housing proportion projections'!K53</f>
        <v>325.62892602093882</v>
      </c>
      <c r="E144" s="186">
        <f>'housing proportion projections'!L53</f>
        <v>325.62892602093882</v>
      </c>
      <c r="F144" s="186">
        <f>'housing proportion projections'!M53</f>
        <v>325.62892602093882</v>
      </c>
      <c r="G144" s="218">
        <f>'housing proportion projections'!N53</f>
        <v>325.62892602093882</v>
      </c>
      <c r="H144" s="186">
        <f>'housing proportion projections'!O53</f>
        <v>325.62892602093882</v>
      </c>
      <c r="I144" s="186">
        <f>'housing proportion projections'!P53</f>
        <v>325.62892602093882</v>
      </c>
      <c r="J144" s="186">
        <f>'housing proportion projections'!Q53</f>
        <v>325.62892602093882</v>
      </c>
      <c r="K144" s="186">
        <f>'housing proportion projections'!R53</f>
        <v>325.62892602093882</v>
      </c>
      <c r="L144" s="186">
        <f>'housing proportion projections'!S53</f>
        <v>325.62892602093882</v>
      </c>
      <c r="M144" s="186">
        <f>'housing proportion projections'!T53</f>
        <v>325.62892602093882</v>
      </c>
      <c r="N144" s="186">
        <f>'housing proportion projections'!U53</f>
        <v>325.62892602093882</v>
      </c>
      <c r="O144" s="194">
        <f t="shared" si="254"/>
        <v>4233.1760382722041</v>
      </c>
      <c r="P144" s="159"/>
      <c r="Q144" s="168"/>
      <c r="R144" s="147"/>
      <c r="S144" s="168"/>
      <c r="T144" s="168"/>
      <c r="U144" s="168"/>
      <c r="V144" s="168"/>
      <c r="W144" s="168"/>
      <c r="X144" s="168"/>
      <c r="Y144" s="168"/>
      <c r="Z144" s="168"/>
      <c r="AA144" s="168"/>
      <c r="AB144" s="168"/>
      <c r="AC144" s="168"/>
      <c r="AD144" s="151"/>
      <c r="AE144" s="168"/>
      <c r="AF144" s="168"/>
      <c r="AG144" s="168"/>
      <c r="AH144" s="151"/>
      <c r="AI144" s="168"/>
      <c r="AJ144" s="168"/>
      <c r="AK144" s="168"/>
      <c r="AL144" s="168"/>
      <c r="AM144" s="168"/>
      <c r="AN144" s="168"/>
      <c r="AO144" s="168"/>
      <c r="AP144" s="168"/>
      <c r="AQ144" s="168"/>
      <c r="AR144" s="168"/>
      <c r="AS144" s="168"/>
      <c r="AT144" s="168"/>
      <c r="AU144" s="168"/>
      <c r="AV144" s="168"/>
      <c r="AW144" s="168"/>
      <c r="AX144" s="168"/>
      <c r="AY144" s="168"/>
      <c r="AZ144" s="168"/>
      <c r="BA144" s="168"/>
      <c r="BB144" s="168"/>
      <c r="BC144" s="168"/>
      <c r="BD144" s="168"/>
      <c r="BE144" s="168"/>
      <c r="BF144" s="168"/>
      <c r="BG144" s="168"/>
      <c r="BH144" s="168"/>
      <c r="BI144" s="168"/>
      <c r="BJ144" s="168"/>
      <c r="BK144" s="168"/>
      <c r="BL144" s="168"/>
      <c r="BM144" s="168"/>
      <c r="BN144" s="168"/>
      <c r="BO144" s="168"/>
      <c r="BP144" s="168"/>
      <c r="BQ144" s="168"/>
      <c r="BR144" s="168"/>
    </row>
    <row r="145" spans="1:70" s="156" customFormat="1" x14ac:dyDescent="0.35">
      <c r="A145" s="190" t="s">
        <v>22</v>
      </c>
      <c r="B145" s="218">
        <f>'housing proportion projections'!I54</f>
        <v>108.67309158982181</v>
      </c>
      <c r="C145" s="186">
        <f>'housing proportion projections'!J54</f>
        <v>108.67309158982181</v>
      </c>
      <c r="D145" s="186">
        <f>'housing proportion projections'!K54</f>
        <v>108.67309158982181</v>
      </c>
      <c r="E145" s="186">
        <f>'housing proportion projections'!L54</f>
        <v>108.67309158982181</v>
      </c>
      <c r="F145" s="186">
        <f>'housing proportion projections'!M54</f>
        <v>108.67309158982181</v>
      </c>
      <c r="G145" s="218">
        <f>'housing proportion projections'!N54</f>
        <v>108.67309158982181</v>
      </c>
      <c r="H145" s="186">
        <f>'housing proportion projections'!O54</f>
        <v>108.67309158982181</v>
      </c>
      <c r="I145" s="186">
        <f>'housing proportion projections'!P54</f>
        <v>108.67309158982181</v>
      </c>
      <c r="J145" s="186">
        <f>'housing proportion projections'!Q54</f>
        <v>108.67309158982181</v>
      </c>
      <c r="K145" s="186">
        <f>'housing proportion projections'!R54</f>
        <v>108.67309158982181</v>
      </c>
      <c r="L145" s="186">
        <f>'housing proportion projections'!S54</f>
        <v>108.67309158982181</v>
      </c>
      <c r="M145" s="186">
        <f>'housing proportion projections'!T54</f>
        <v>108.67309158982181</v>
      </c>
      <c r="N145" s="186">
        <f>'housing proportion projections'!U54</f>
        <v>108.67309158982181</v>
      </c>
      <c r="O145" s="194">
        <f t="shared" si="254"/>
        <v>1412.750190667683</v>
      </c>
      <c r="P145" s="161"/>
      <c r="Q145" s="168"/>
      <c r="R145" s="147"/>
      <c r="S145" s="168"/>
      <c r="T145" s="168"/>
      <c r="U145" s="168"/>
      <c r="V145" s="168"/>
      <c r="W145" s="168"/>
      <c r="X145" s="168"/>
      <c r="Y145" s="168"/>
      <c r="Z145" s="168"/>
      <c r="AA145" s="168"/>
      <c r="AB145" s="168"/>
      <c r="AC145" s="168"/>
      <c r="AD145" s="151"/>
      <c r="AE145" s="168"/>
      <c r="AF145" s="168"/>
      <c r="AG145" s="168"/>
      <c r="AH145" s="151"/>
      <c r="AI145" s="168"/>
      <c r="AJ145" s="168"/>
      <c r="AK145" s="168"/>
      <c r="AL145" s="168"/>
      <c r="AM145" s="168"/>
      <c r="AN145" s="168"/>
      <c r="AO145" s="168"/>
      <c r="AP145" s="168"/>
      <c r="AQ145" s="168"/>
      <c r="AR145" s="168"/>
      <c r="AS145" s="168"/>
      <c r="AT145" s="168"/>
      <c r="AU145" s="168"/>
      <c r="AV145" s="168"/>
      <c r="AW145" s="168"/>
      <c r="AX145" s="168"/>
      <c r="AY145" s="168"/>
      <c r="AZ145" s="168"/>
      <c r="BA145" s="168"/>
      <c r="BB145" s="168"/>
      <c r="BC145" s="168"/>
      <c r="BD145" s="168"/>
      <c r="BE145" s="168"/>
      <c r="BF145" s="168"/>
      <c r="BG145" s="168"/>
      <c r="BH145" s="168"/>
      <c r="BI145" s="168"/>
      <c r="BJ145" s="168"/>
      <c r="BK145" s="168"/>
      <c r="BL145" s="168"/>
      <c r="BM145" s="168"/>
      <c r="BN145" s="168"/>
      <c r="BO145" s="168"/>
      <c r="BP145" s="168"/>
      <c r="BQ145" s="168"/>
      <c r="BR145" s="168"/>
    </row>
    <row r="146" spans="1:70" s="155" customFormat="1" ht="15" thickBot="1" x14ac:dyDescent="0.4">
      <c r="A146" s="179"/>
      <c r="B146" s="212"/>
      <c r="C146" s="179"/>
      <c r="D146" s="179"/>
      <c r="E146" s="179"/>
      <c r="F146" s="179"/>
      <c r="G146" s="212"/>
      <c r="H146" s="179"/>
      <c r="I146" s="179"/>
      <c r="J146" s="179"/>
      <c r="K146" s="179"/>
      <c r="L146" s="179"/>
      <c r="M146" s="179"/>
      <c r="N146" s="179"/>
      <c r="O146" s="179"/>
      <c r="P146" s="162"/>
      <c r="Q146" s="168"/>
      <c r="R146" s="147"/>
      <c r="S146" s="168"/>
      <c r="T146" s="168"/>
      <c r="U146" s="168"/>
      <c r="V146" s="168"/>
      <c r="W146" s="168"/>
      <c r="X146" s="168"/>
      <c r="Y146" s="168"/>
      <c r="Z146" s="168"/>
      <c r="AA146" s="168"/>
      <c r="AB146" s="168"/>
      <c r="AC146" s="168"/>
      <c r="AD146" s="151"/>
      <c r="AE146" s="168"/>
      <c r="AF146" s="168"/>
      <c r="AG146" s="168"/>
      <c r="AH146" s="151"/>
      <c r="AI146" s="168"/>
      <c r="AJ146" s="168"/>
      <c r="AK146" s="168"/>
      <c r="AL146" s="168"/>
      <c r="AM146" s="168"/>
      <c r="AN146" s="168"/>
      <c r="AO146" s="168"/>
      <c r="AP146" s="168"/>
      <c r="AQ146" s="168"/>
      <c r="AR146" s="168"/>
      <c r="AS146" s="168"/>
      <c r="AT146" s="168"/>
      <c r="AU146" s="168"/>
      <c r="AV146" s="168"/>
      <c r="AW146" s="168"/>
      <c r="AX146" s="168"/>
      <c r="AY146" s="168"/>
      <c r="AZ146" s="168"/>
      <c r="BA146" s="168"/>
      <c r="BB146" s="168"/>
      <c r="BC146" s="168"/>
      <c r="BD146" s="168"/>
      <c r="BE146" s="168"/>
      <c r="BF146" s="168"/>
      <c r="BG146" s="168"/>
      <c r="BH146" s="168"/>
      <c r="BI146" s="168"/>
      <c r="BJ146" s="168"/>
      <c r="BK146" s="168"/>
      <c r="BL146" s="168"/>
      <c r="BM146" s="168"/>
      <c r="BN146" s="168"/>
      <c r="BO146" s="168"/>
      <c r="BP146" s="168"/>
      <c r="BQ146" s="168"/>
      <c r="BR146" s="168"/>
    </row>
    <row r="147" spans="1:70" s="155" customFormat="1" x14ac:dyDescent="0.35">
      <c r="A147" s="191" t="s">
        <v>134</v>
      </c>
      <c r="B147" s="213"/>
      <c r="C147" s="192"/>
      <c r="D147" s="192"/>
      <c r="E147" s="192"/>
      <c r="F147" s="192"/>
      <c r="G147" s="213"/>
      <c r="H147" s="192"/>
      <c r="I147" s="192"/>
      <c r="J147" s="192"/>
      <c r="K147" s="192"/>
      <c r="L147" s="192"/>
      <c r="M147" s="192"/>
      <c r="N147" s="192"/>
      <c r="O147" s="192"/>
      <c r="P147" s="163"/>
      <c r="Q147" s="168"/>
      <c r="R147" s="147"/>
      <c r="S147" s="168"/>
      <c r="T147" s="168"/>
      <c r="U147" s="168"/>
      <c r="V147" s="168"/>
      <c r="W147" s="168"/>
      <c r="X147" s="168"/>
      <c r="Y147" s="168"/>
      <c r="Z147" s="168"/>
      <c r="AA147" s="168"/>
      <c r="AB147" s="168"/>
      <c r="AC147" s="168"/>
      <c r="AD147" s="151"/>
      <c r="AE147" s="168"/>
      <c r="AF147" s="168"/>
      <c r="AG147" s="168"/>
      <c r="AH147" s="151"/>
      <c r="AI147" s="168"/>
      <c r="AJ147" s="168"/>
      <c r="AK147" s="168"/>
      <c r="AL147" s="168"/>
      <c r="AM147" s="168"/>
      <c r="AN147" s="168"/>
      <c r="AO147" s="168"/>
      <c r="AP147" s="168"/>
      <c r="AQ147" s="168"/>
      <c r="AR147" s="168"/>
      <c r="AS147" s="168"/>
      <c r="AT147" s="168"/>
      <c r="AU147" s="168"/>
      <c r="AV147" s="168"/>
      <c r="AW147" s="168"/>
      <c r="AX147" s="168"/>
      <c r="AY147" s="168"/>
      <c r="AZ147" s="168"/>
      <c r="BA147" s="168"/>
      <c r="BB147" s="168"/>
      <c r="BC147" s="168"/>
      <c r="BD147" s="168"/>
      <c r="BE147" s="168"/>
      <c r="BF147" s="168"/>
      <c r="BG147" s="168"/>
      <c r="BH147" s="168"/>
      <c r="BI147" s="168"/>
      <c r="BJ147" s="168"/>
      <c r="BK147" s="168"/>
      <c r="BL147" s="168"/>
      <c r="BM147" s="168"/>
      <c r="BN147" s="168"/>
      <c r="BO147" s="168"/>
      <c r="BP147" s="168"/>
      <c r="BQ147" s="168"/>
      <c r="BR147" s="168"/>
    </row>
    <row r="148" spans="1:70" s="155" customFormat="1" x14ac:dyDescent="0.35">
      <c r="A148" s="193" t="s">
        <v>112</v>
      </c>
      <c r="B148" s="214">
        <f>((B142*$AE$28)+(B143*$AE$29)+(B144*$AE$30)+(B145*$AE$31))*30</f>
        <v>9309115.6742326319</v>
      </c>
      <c r="C148" s="214">
        <f t="shared" ref="C148:F148" si="255">((C142*$AE$28)+(C143*$AE$29)+(C144*$AE$30)+(C145*$AE$31))*30</f>
        <v>9309115.6742326319</v>
      </c>
      <c r="D148" s="214">
        <f t="shared" si="255"/>
        <v>9309115.6742326319</v>
      </c>
      <c r="E148" s="214">
        <f t="shared" si="255"/>
        <v>9309115.6742326319</v>
      </c>
      <c r="F148" s="214">
        <f t="shared" si="255"/>
        <v>9309115.6742326319</v>
      </c>
      <c r="G148" s="214">
        <f>((G142*$AI$28)+(G143*$AI$29)+(G144*$AI$30)+(G145*$AI$31))*30</f>
        <v>9200727.770659348</v>
      </c>
      <c r="H148" s="214">
        <f t="shared" ref="H148:N148" si="256">((H142*$AI$28)+(H143*$AI$29)+(H144*$AI$30)+(H145*$AI$31))*30</f>
        <v>9200727.770659348</v>
      </c>
      <c r="I148" s="214">
        <f t="shared" si="256"/>
        <v>9200727.770659348</v>
      </c>
      <c r="J148" s="214">
        <f t="shared" si="256"/>
        <v>9200727.770659348</v>
      </c>
      <c r="K148" s="214">
        <f t="shared" si="256"/>
        <v>9200727.770659348</v>
      </c>
      <c r="L148" s="214">
        <f t="shared" si="256"/>
        <v>9200727.770659348</v>
      </c>
      <c r="M148" s="214">
        <f t="shared" si="256"/>
        <v>9200727.770659348</v>
      </c>
      <c r="N148" s="214">
        <f t="shared" si="256"/>
        <v>9200727.770659348</v>
      </c>
      <c r="O148" s="214">
        <f>SUM(B148:N148)</f>
        <v>120151400.53643791</v>
      </c>
      <c r="P148" s="162"/>
      <c r="Q148" s="168"/>
      <c r="R148" s="147"/>
      <c r="S148" s="168"/>
      <c r="T148" s="168"/>
      <c r="U148" s="168"/>
      <c r="V148" s="168"/>
      <c r="W148" s="168"/>
      <c r="X148" s="168"/>
      <c r="Y148" s="168"/>
      <c r="Z148" s="168"/>
      <c r="AA148" s="168"/>
      <c r="AB148" s="168"/>
      <c r="AC148" s="168"/>
      <c r="AD148" s="151"/>
      <c r="AE148" s="168"/>
      <c r="AF148" s="168"/>
      <c r="AG148" s="168"/>
      <c r="AH148" s="151"/>
      <c r="AI148" s="168"/>
      <c r="AJ148" s="168"/>
      <c r="AK148" s="168"/>
      <c r="AL148" s="168"/>
      <c r="AM148" s="168"/>
      <c r="AN148" s="168"/>
      <c r="AO148" s="168"/>
      <c r="AP148" s="168"/>
      <c r="AQ148" s="168"/>
      <c r="AR148" s="168"/>
      <c r="AS148" s="168"/>
      <c r="AT148" s="168"/>
      <c r="AU148" s="168"/>
      <c r="AV148" s="168"/>
      <c r="AW148" s="168"/>
      <c r="AX148" s="168"/>
      <c r="AY148" s="168"/>
      <c r="AZ148" s="168"/>
      <c r="BA148" s="168"/>
      <c r="BB148" s="168"/>
      <c r="BC148" s="168"/>
      <c r="BD148" s="168"/>
      <c r="BE148" s="168"/>
      <c r="BF148" s="168"/>
      <c r="BG148" s="168"/>
      <c r="BH148" s="168"/>
      <c r="BI148" s="168"/>
      <c r="BJ148" s="168"/>
      <c r="BK148" s="168"/>
      <c r="BL148" s="168"/>
      <c r="BM148" s="168"/>
      <c r="BN148" s="168"/>
      <c r="BO148" s="168"/>
      <c r="BP148" s="168"/>
      <c r="BQ148" s="168"/>
      <c r="BR148" s="168"/>
    </row>
    <row r="149" spans="1:70" s="155" customFormat="1" x14ac:dyDescent="0.35">
      <c r="A149" s="193" t="s">
        <v>113</v>
      </c>
      <c r="B149" s="214">
        <f t="shared" ref="B149" si="257">B148/1000</f>
        <v>9309.1156742326311</v>
      </c>
      <c r="C149" s="214">
        <f t="shared" ref="C149" si="258">C148/1000</f>
        <v>9309.1156742326311</v>
      </c>
      <c r="D149" s="214">
        <f t="shared" ref="D149" si="259">D148/1000</f>
        <v>9309.1156742326311</v>
      </c>
      <c r="E149" s="214">
        <f t="shared" ref="E149" si="260">E148/1000</f>
        <v>9309.1156742326311</v>
      </c>
      <c r="F149" s="214">
        <f t="shared" ref="F149" si="261">F148/1000</f>
        <v>9309.1156742326311</v>
      </c>
      <c r="G149" s="214">
        <f t="shared" ref="G149" si="262">G148/1000</f>
        <v>9200.7277706593486</v>
      </c>
      <c r="H149" s="214">
        <f t="shared" ref="H149" si="263">H148/1000</f>
        <v>9200.7277706593486</v>
      </c>
      <c r="I149" s="214">
        <f t="shared" ref="I149" si="264">I148/1000</f>
        <v>9200.7277706593486</v>
      </c>
      <c r="J149" s="214">
        <f t="shared" ref="J149" si="265">J148/1000</f>
        <v>9200.7277706593486</v>
      </c>
      <c r="K149" s="214">
        <f t="shared" ref="K149" si="266">K148/1000</f>
        <v>9200.7277706593486</v>
      </c>
      <c r="L149" s="214">
        <f t="shared" ref="L149" si="267">L148/1000</f>
        <v>9200.7277706593486</v>
      </c>
      <c r="M149" s="214">
        <f t="shared" ref="M149" si="268">M148/1000</f>
        <v>9200.7277706593486</v>
      </c>
      <c r="N149" s="214">
        <f t="shared" ref="N149" si="269">N148/1000</f>
        <v>9200.7277706593486</v>
      </c>
      <c r="O149" s="214">
        <f t="shared" ref="O149" si="270">O148/1000</f>
        <v>120151.40053643791</v>
      </c>
      <c r="P149" s="162"/>
      <c r="Q149" s="168"/>
      <c r="R149" s="147"/>
      <c r="S149" s="168"/>
      <c r="T149" s="168"/>
      <c r="U149" s="168"/>
      <c r="V149" s="168"/>
      <c r="W149" s="168"/>
      <c r="X149" s="168"/>
      <c r="Y149" s="168"/>
      <c r="Z149" s="168"/>
      <c r="AA149" s="168"/>
      <c r="AB149" s="168"/>
      <c r="AC149" s="168"/>
      <c r="AD149" s="151"/>
      <c r="AE149" s="168"/>
      <c r="AF149" s="168"/>
      <c r="AG149" s="168"/>
      <c r="AH149" s="151"/>
      <c r="AI149" s="168"/>
      <c r="AJ149" s="168"/>
      <c r="AK149" s="168"/>
      <c r="AL149" s="168"/>
      <c r="AM149" s="168"/>
      <c r="AN149" s="168"/>
      <c r="AO149" s="168"/>
      <c r="AP149" s="168"/>
      <c r="AQ149" s="168"/>
      <c r="AR149" s="168"/>
      <c r="AS149" s="168"/>
      <c r="AT149" s="168"/>
      <c r="AU149" s="168"/>
      <c r="AV149" s="168"/>
      <c r="AW149" s="168"/>
      <c r="AX149" s="168"/>
      <c r="AY149" s="168"/>
      <c r="AZ149" s="168"/>
      <c r="BA149" s="168"/>
      <c r="BB149" s="168"/>
      <c r="BC149" s="168"/>
      <c r="BD149" s="168"/>
      <c r="BE149" s="168"/>
      <c r="BF149" s="168"/>
      <c r="BG149" s="168"/>
      <c r="BH149" s="168"/>
      <c r="BI149" s="168"/>
      <c r="BJ149" s="168"/>
      <c r="BK149" s="168"/>
      <c r="BL149" s="168"/>
      <c r="BM149" s="168"/>
      <c r="BN149" s="168"/>
      <c r="BO149" s="168"/>
      <c r="BP149" s="168"/>
      <c r="BQ149" s="168"/>
      <c r="BR149" s="168"/>
    </row>
    <row r="150" spans="1:70" s="157" customFormat="1" ht="15" thickBot="1" x14ac:dyDescent="0.4">
      <c r="A150" s="193" t="s">
        <v>64</v>
      </c>
      <c r="B150" s="215">
        <f t="shared" ref="B150" si="271">B149*$AB$2</f>
        <v>1861823.1348465262</v>
      </c>
      <c r="C150" s="215">
        <f t="shared" ref="C150" si="272">C149*$AB$2</f>
        <v>1861823.1348465262</v>
      </c>
      <c r="D150" s="215">
        <f t="shared" ref="D150" si="273">D149*$AB$2</f>
        <v>1861823.1348465262</v>
      </c>
      <c r="E150" s="215">
        <f t="shared" ref="E150" si="274">E149*$AB$2</f>
        <v>1861823.1348465262</v>
      </c>
      <c r="F150" s="215">
        <f t="shared" ref="F150" si="275">F149*$AB$2</f>
        <v>1861823.1348465262</v>
      </c>
      <c r="G150" s="215">
        <f t="shared" ref="G150" si="276">G149*$AB$2</f>
        <v>1840145.5541318697</v>
      </c>
      <c r="H150" s="215">
        <f t="shared" ref="H150" si="277">H149*$AB$2</f>
        <v>1840145.5541318697</v>
      </c>
      <c r="I150" s="215">
        <f t="shared" ref="I150" si="278">I149*$AB$2</f>
        <v>1840145.5541318697</v>
      </c>
      <c r="J150" s="215">
        <f t="shared" ref="J150" si="279">J149*$AB$2</f>
        <v>1840145.5541318697</v>
      </c>
      <c r="K150" s="215">
        <f t="shared" ref="K150" si="280">K149*$AB$2</f>
        <v>1840145.5541318697</v>
      </c>
      <c r="L150" s="215">
        <f t="shared" ref="L150" si="281">L149*$AB$2</f>
        <v>1840145.5541318697</v>
      </c>
      <c r="M150" s="215">
        <f t="shared" ref="M150" si="282">M149*$AB$2</f>
        <v>1840145.5541318697</v>
      </c>
      <c r="N150" s="215">
        <f t="shared" ref="N150" si="283">N149*$AB$2</f>
        <v>1840145.5541318697</v>
      </c>
      <c r="O150" s="215">
        <f t="shared" ref="O150" si="284">O149*$AB$2</f>
        <v>24030280.107287582</v>
      </c>
      <c r="P150" s="164"/>
      <c r="Q150" s="168"/>
      <c r="R150" s="147"/>
      <c r="S150" s="168"/>
      <c r="T150" s="168"/>
      <c r="U150" s="168"/>
      <c r="V150" s="168"/>
      <c r="W150" s="168"/>
      <c r="X150" s="168"/>
      <c r="Y150" s="168"/>
      <c r="Z150" s="168"/>
      <c r="AA150" s="168"/>
      <c r="AB150" s="168"/>
      <c r="AC150" s="168"/>
      <c r="AD150" s="151"/>
      <c r="AE150" s="168"/>
      <c r="AF150" s="168"/>
      <c r="AG150" s="168"/>
      <c r="AH150" s="151"/>
      <c r="AI150" s="168"/>
      <c r="AJ150" s="168"/>
      <c r="AK150" s="168"/>
      <c r="AL150" s="168"/>
      <c r="AM150" s="168"/>
      <c r="AN150" s="168"/>
      <c r="AO150" s="168"/>
      <c r="AP150" s="168"/>
      <c r="AQ150" s="168"/>
      <c r="AR150" s="168"/>
      <c r="AS150" s="168"/>
      <c r="AT150" s="168"/>
      <c r="AU150" s="168"/>
      <c r="AV150" s="168"/>
      <c r="AW150" s="168"/>
      <c r="AX150" s="168"/>
      <c r="AY150" s="168"/>
      <c r="AZ150" s="168"/>
      <c r="BA150" s="168"/>
      <c r="BB150" s="168"/>
      <c r="BC150" s="168"/>
      <c r="BD150" s="168"/>
      <c r="BE150" s="168"/>
      <c r="BF150" s="168"/>
      <c r="BG150" s="168"/>
      <c r="BH150" s="168"/>
      <c r="BI150" s="168"/>
      <c r="BJ150" s="168"/>
      <c r="BK150" s="168"/>
      <c r="BL150" s="168"/>
      <c r="BM150" s="168"/>
      <c r="BN150" s="168"/>
      <c r="BO150" s="168"/>
      <c r="BP150" s="168"/>
      <c r="BQ150" s="168"/>
      <c r="BR150" s="168"/>
    </row>
    <row r="151" spans="1:70" s="152" customFormat="1" x14ac:dyDescent="0.35">
      <c r="A151" s="193"/>
      <c r="B151" s="214"/>
      <c r="C151" s="194"/>
      <c r="D151" s="194"/>
      <c r="E151" s="194"/>
      <c r="F151" s="194"/>
      <c r="G151" s="214"/>
      <c r="H151" s="194"/>
      <c r="I151" s="194"/>
      <c r="J151" s="194"/>
      <c r="K151" s="194"/>
      <c r="L151" s="194"/>
      <c r="M151" s="194"/>
      <c r="N151" s="194"/>
      <c r="O151" s="194"/>
      <c r="P151" s="159"/>
      <c r="Q151" s="168"/>
      <c r="R151" s="147"/>
      <c r="S151" s="168"/>
      <c r="T151" s="168"/>
      <c r="U151" s="168"/>
      <c r="V151" s="168"/>
      <c r="W151" s="168"/>
      <c r="X151" s="168"/>
      <c r="Y151" s="168"/>
      <c r="Z151" s="168"/>
      <c r="AA151" s="168"/>
      <c r="AB151" s="168"/>
      <c r="AC151" s="168"/>
      <c r="AD151" s="151"/>
      <c r="AE151" s="168"/>
      <c r="AF151" s="168"/>
      <c r="AG151" s="168"/>
      <c r="AH151" s="151"/>
      <c r="AI151" s="168"/>
      <c r="AJ151" s="168"/>
      <c r="AK151" s="168"/>
      <c r="AL151" s="168"/>
      <c r="AM151" s="168"/>
      <c r="AN151" s="168"/>
      <c r="AO151" s="168"/>
      <c r="AP151" s="168"/>
      <c r="AQ151" s="168"/>
      <c r="AR151" s="168"/>
      <c r="AS151" s="168"/>
      <c r="AT151" s="168"/>
      <c r="AU151" s="168"/>
      <c r="AV151" s="168"/>
      <c r="AW151" s="168"/>
      <c r="AX151" s="168"/>
      <c r="AY151" s="168"/>
      <c r="AZ151" s="168"/>
      <c r="BA151" s="168"/>
      <c r="BB151" s="168"/>
      <c r="BC151" s="168"/>
      <c r="BD151" s="168"/>
      <c r="BE151" s="168"/>
      <c r="BF151" s="168"/>
      <c r="BG151" s="168"/>
      <c r="BH151" s="168"/>
      <c r="BI151" s="168"/>
      <c r="BJ151" s="168"/>
      <c r="BK151" s="168"/>
      <c r="BL151" s="168"/>
      <c r="BM151" s="168"/>
      <c r="BN151" s="168"/>
      <c r="BO151" s="168"/>
      <c r="BP151" s="168"/>
      <c r="BQ151" s="168"/>
      <c r="BR151" s="168"/>
    </row>
    <row r="152" spans="1:70" s="152" customFormat="1" ht="15" thickBot="1" x14ac:dyDescent="0.4">
      <c r="A152" s="197"/>
      <c r="B152" s="216"/>
      <c r="C152" s="198"/>
      <c r="D152" s="198"/>
      <c r="E152" s="198"/>
      <c r="F152" s="198"/>
      <c r="G152" s="216"/>
      <c r="H152" s="198"/>
      <c r="I152" s="198"/>
      <c r="J152" s="198"/>
      <c r="K152" s="198"/>
      <c r="L152" s="198"/>
      <c r="M152" s="198"/>
      <c r="N152" s="198"/>
      <c r="O152" s="198"/>
      <c r="P152" s="159"/>
      <c r="Q152" s="168"/>
      <c r="R152" s="147"/>
      <c r="S152" s="168"/>
      <c r="T152" s="168"/>
      <c r="U152" s="168"/>
      <c r="V152" s="168"/>
      <c r="W152" s="168"/>
      <c r="X152" s="168"/>
      <c r="Y152" s="168"/>
      <c r="Z152" s="168"/>
      <c r="AA152" s="168"/>
      <c r="AB152" s="168"/>
      <c r="AC152" s="168"/>
      <c r="AD152" s="151"/>
      <c r="AE152" s="168"/>
      <c r="AF152" s="168"/>
      <c r="AG152" s="168"/>
      <c r="AH152" s="151"/>
      <c r="AI152" s="168"/>
      <c r="AJ152" s="168"/>
      <c r="AK152" s="168"/>
      <c r="AL152" s="168"/>
      <c r="AM152" s="168"/>
      <c r="AN152" s="168"/>
      <c r="AO152" s="168"/>
      <c r="AP152" s="168"/>
      <c r="AQ152" s="168"/>
      <c r="AR152" s="168"/>
      <c r="AS152" s="168"/>
      <c r="AT152" s="168"/>
      <c r="AU152" s="168"/>
      <c r="AV152" s="168"/>
      <c r="AW152" s="168"/>
      <c r="AX152" s="168"/>
      <c r="AY152" s="168"/>
      <c r="AZ152" s="168"/>
      <c r="BA152" s="168"/>
      <c r="BB152" s="168"/>
      <c r="BC152" s="168"/>
      <c r="BD152" s="168"/>
      <c r="BE152" s="168"/>
      <c r="BF152" s="168"/>
      <c r="BG152" s="168"/>
      <c r="BH152" s="168"/>
      <c r="BI152" s="168"/>
      <c r="BJ152" s="168"/>
      <c r="BK152" s="168"/>
      <c r="BL152" s="168"/>
      <c r="BM152" s="168"/>
      <c r="BN152" s="168"/>
      <c r="BO152" s="168"/>
      <c r="BP152" s="168"/>
      <c r="BQ152" s="168"/>
      <c r="BR152" s="168"/>
    </row>
    <row r="153" spans="1:70" s="152" customFormat="1" x14ac:dyDescent="0.35">
      <c r="A153" s="179"/>
      <c r="B153" s="212"/>
      <c r="C153" s="179"/>
      <c r="D153" s="179"/>
      <c r="E153" s="179"/>
      <c r="F153" s="179"/>
      <c r="G153" s="212"/>
      <c r="H153" s="179"/>
      <c r="I153" s="179"/>
      <c r="J153" s="179"/>
      <c r="K153" s="179"/>
      <c r="L153" s="179"/>
      <c r="M153" s="179"/>
      <c r="N153" s="179"/>
      <c r="O153" s="179"/>
      <c r="P153" s="159"/>
      <c r="Q153" s="168"/>
      <c r="R153" s="147"/>
      <c r="S153" s="168"/>
      <c r="T153" s="168"/>
      <c r="U153" s="168"/>
      <c r="V153" s="168"/>
      <c r="W153" s="168"/>
      <c r="X153" s="168"/>
      <c r="Y153" s="168"/>
      <c r="Z153" s="168"/>
      <c r="AA153" s="168"/>
      <c r="AB153" s="168"/>
      <c r="AC153" s="168"/>
      <c r="AD153" s="151"/>
      <c r="AE153" s="168"/>
      <c r="AF153" s="168"/>
      <c r="AG153" s="168"/>
      <c r="AH153" s="151"/>
      <c r="AI153" s="168"/>
      <c r="AJ153" s="168"/>
      <c r="AK153" s="168"/>
      <c r="AL153" s="168"/>
      <c r="AM153" s="168"/>
      <c r="AN153" s="168"/>
      <c r="AO153" s="168"/>
      <c r="AP153" s="168"/>
      <c r="AQ153" s="168"/>
      <c r="AR153" s="168"/>
      <c r="AS153" s="168"/>
      <c r="AT153" s="168"/>
      <c r="AU153" s="168"/>
      <c r="AV153" s="168"/>
      <c r="AW153" s="168"/>
      <c r="AX153" s="168"/>
      <c r="AY153" s="168"/>
      <c r="AZ153" s="168"/>
      <c r="BA153" s="168"/>
      <c r="BB153" s="168"/>
      <c r="BC153" s="168"/>
      <c r="BD153" s="168"/>
      <c r="BE153" s="168"/>
      <c r="BF153" s="168"/>
      <c r="BG153" s="168"/>
      <c r="BH153" s="168"/>
      <c r="BI153" s="168"/>
      <c r="BJ153" s="168"/>
      <c r="BK153" s="168"/>
      <c r="BL153" s="168"/>
      <c r="BM153" s="168"/>
      <c r="BN153" s="168"/>
      <c r="BO153" s="168"/>
      <c r="BP153" s="168"/>
      <c r="BQ153" s="168"/>
      <c r="BR153" s="168"/>
    </row>
    <row r="154" spans="1:70" s="152" customFormat="1" x14ac:dyDescent="0.35">
      <c r="A154" s="179"/>
      <c r="B154" s="212"/>
      <c r="C154" s="179"/>
      <c r="D154" s="179"/>
      <c r="E154" s="179"/>
      <c r="F154" s="179"/>
      <c r="G154" s="212"/>
      <c r="H154" s="179"/>
      <c r="I154" s="179"/>
      <c r="J154" s="179"/>
      <c r="K154" s="179"/>
      <c r="L154" s="179"/>
      <c r="M154" s="179"/>
      <c r="N154" s="179"/>
      <c r="O154" s="179"/>
      <c r="P154" s="160"/>
      <c r="Q154" s="168"/>
      <c r="R154" s="147"/>
      <c r="S154" s="168"/>
      <c r="T154" s="168"/>
      <c r="U154" s="168"/>
      <c r="V154" s="168"/>
      <c r="W154" s="168"/>
      <c r="X154" s="168"/>
      <c r="Y154" s="168"/>
      <c r="Z154" s="168"/>
      <c r="AA154" s="168"/>
      <c r="AB154" s="168"/>
      <c r="AC154" s="168"/>
      <c r="AD154" s="151"/>
      <c r="AE154" s="168"/>
      <c r="AF154" s="168"/>
      <c r="AG154" s="168"/>
      <c r="AH154" s="151"/>
      <c r="AI154" s="168"/>
      <c r="AJ154" s="168"/>
      <c r="AK154" s="168"/>
      <c r="AL154" s="168"/>
      <c r="AM154" s="168"/>
      <c r="AN154" s="168"/>
      <c r="AO154" s="168"/>
      <c r="AP154" s="168"/>
      <c r="AQ154" s="168"/>
      <c r="AR154" s="168"/>
      <c r="AS154" s="168"/>
      <c r="AT154" s="168"/>
      <c r="AU154" s="168"/>
      <c r="AV154" s="168"/>
      <c r="AW154" s="168"/>
      <c r="AX154" s="168"/>
      <c r="AY154" s="168"/>
      <c r="AZ154" s="168"/>
      <c r="BA154" s="168"/>
      <c r="BB154" s="168"/>
      <c r="BC154" s="168"/>
      <c r="BD154" s="168"/>
      <c r="BE154" s="168"/>
      <c r="BF154" s="168"/>
      <c r="BG154" s="168"/>
      <c r="BH154" s="168"/>
      <c r="BI154" s="168"/>
      <c r="BJ154" s="168"/>
      <c r="BK154" s="168"/>
      <c r="BL154" s="168"/>
      <c r="BM154" s="168"/>
      <c r="BN154" s="168"/>
      <c r="BO154" s="168"/>
      <c r="BP154" s="168"/>
      <c r="BQ154" s="168"/>
      <c r="BR154" s="168"/>
    </row>
    <row r="155" spans="1:70" s="152" customFormat="1" x14ac:dyDescent="0.35">
      <c r="A155" s="180" t="s">
        <v>0</v>
      </c>
      <c r="B155" s="209" t="s">
        <v>7</v>
      </c>
      <c r="C155" s="182" t="s">
        <v>8</v>
      </c>
      <c r="D155" s="182" t="s">
        <v>9</v>
      </c>
      <c r="E155" s="182" t="s">
        <v>10</v>
      </c>
      <c r="F155" s="182" t="s">
        <v>11</v>
      </c>
      <c r="G155" s="209" t="s">
        <v>12</v>
      </c>
      <c r="H155" s="182" t="s">
        <v>13</v>
      </c>
      <c r="I155" s="182" t="s">
        <v>14</v>
      </c>
      <c r="J155" s="182" t="s">
        <v>15</v>
      </c>
      <c r="K155" s="182" t="s">
        <v>16</v>
      </c>
      <c r="L155" s="183" t="s">
        <v>17</v>
      </c>
      <c r="M155" s="184" t="s">
        <v>23</v>
      </c>
      <c r="N155" s="184" t="s">
        <v>24</v>
      </c>
      <c r="O155" s="185" t="s">
        <v>18</v>
      </c>
      <c r="P155" s="159"/>
      <c r="Q155" s="168"/>
      <c r="R155" s="147"/>
      <c r="S155" s="168"/>
      <c r="T155" s="168"/>
      <c r="U155" s="168"/>
      <c r="V155" s="168"/>
      <c r="W155" s="168"/>
      <c r="X155" s="168"/>
      <c r="Y155" s="168"/>
      <c r="Z155" s="168"/>
      <c r="AA155" s="168"/>
      <c r="AB155" s="168"/>
      <c r="AC155" s="168"/>
      <c r="AD155" s="151"/>
      <c r="AE155" s="168"/>
      <c r="AF155" s="168"/>
      <c r="AG155" s="168"/>
      <c r="AH155" s="151"/>
      <c r="AI155" s="168"/>
      <c r="AJ155" s="168"/>
      <c r="AK155" s="168"/>
      <c r="AL155" s="168"/>
      <c r="AM155" s="168"/>
      <c r="AN155" s="168"/>
      <c r="AO155" s="168"/>
      <c r="AP155" s="168"/>
      <c r="AQ155" s="168"/>
      <c r="AR155" s="168"/>
      <c r="AS155" s="168"/>
      <c r="AT155" s="168"/>
      <c r="AU155" s="168"/>
      <c r="AV155" s="168"/>
      <c r="AW155" s="168"/>
      <c r="AX155" s="168"/>
      <c r="AY155" s="168"/>
      <c r="AZ155" s="168"/>
      <c r="BA155" s="168"/>
      <c r="BB155" s="168"/>
      <c r="BC155" s="168"/>
      <c r="BD155" s="168"/>
      <c r="BE155" s="168"/>
      <c r="BF155" s="168"/>
      <c r="BG155" s="168"/>
      <c r="BH155" s="168"/>
      <c r="BI155" s="168"/>
      <c r="BJ155" s="168"/>
      <c r="BK155" s="168"/>
      <c r="BL155" s="168"/>
      <c r="BM155" s="168"/>
      <c r="BN155" s="168"/>
      <c r="BO155" s="168"/>
      <c r="BP155" s="168"/>
      <c r="BQ155" s="168"/>
      <c r="BR155" s="168"/>
    </row>
    <row r="156" spans="1:70" s="152" customFormat="1" x14ac:dyDescent="0.35">
      <c r="A156" s="154" t="s">
        <v>36</v>
      </c>
      <c r="B156" s="217">
        <v>10578</v>
      </c>
      <c r="C156" s="186">
        <v>10578</v>
      </c>
      <c r="D156" s="186">
        <v>10578</v>
      </c>
      <c r="E156" s="186">
        <v>10578</v>
      </c>
      <c r="F156" s="186">
        <v>10578</v>
      </c>
      <c r="G156" s="217">
        <v>10578</v>
      </c>
      <c r="H156" s="186">
        <v>10578</v>
      </c>
      <c r="I156" s="186">
        <v>10578</v>
      </c>
      <c r="J156" s="186">
        <v>10578</v>
      </c>
      <c r="K156" s="186">
        <v>10578</v>
      </c>
      <c r="L156" s="186">
        <v>10578</v>
      </c>
      <c r="M156" s="186">
        <v>10578</v>
      </c>
      <c r="N156" s="186">
        <v>10578</v>
      </c>
      <c r="O156" s="194">
        <f>SUM(B156:N156)</f>
        <v>137514</v>
      </c>
      <c r="P156" s="159"/>
      <c r="Q156" s="168"/>
      <c r="R156" s="147"/>
      <c r="S156" s="168"/>
      <c r="T156" s="168"/>
      <c r="U156" s="168"/>
      <c r="V156" s="168"/>
      <c r="W156" s="168"/>
      <c r="X156" s="168"/>
      <c r="Y156" s="168"/>
      <c r="Z156" s="168"/>
      <c r="AA156" s="168"/>
      <c r="AB156" s="168"/>
      <c r="AC156" s="168"/>
      <c r="AD156" s="151"/>
      <c r="AE156" s="168"/>
      <c r="AF156" s="168"/>
      <c r="AG156" s="168"/>
      <c r="AH156" s="151"/>
      <c r="AI156" s="168"/>
      <c r="AJ156" s="168"/>
      <c r="AK156" s="168"/>
      <c r="AL156" s="168"/>
      <c r="AM156" s="168"/>
      <c r="AN156" s="168"/>
      <c r="AO156" s="168"/>
      <c r="AP156" s="168"/>
      <c r="AQ156" s="168"/>
      <c r="AR156" s="168"/>
      <c r="AS156" s="168"/>
      <c r="AT156" s="168"/>
      <c r="AU156" s="168"/>
      <c r="AV156" s="168"/>
      <c r="AW156" s="168"/>
      <c r="AX156" s="168"/>
      <c r="AY156" s="168"/>
      <c r="AZ156" s="168"/>
      <c r="BA156" s="168"/>
      <c r="BB156" s="168"/>
      <c r="BC156" s="168"/>
      <c r="BD156" s="168"/>
      <c r="BE156" s="168"/>
      <c r="BF156" s="168"/>
      <c r="BG156" s="168"/>
      <c r="BH156" s="168"/>
      <c r="BI156" s="168"/>
      <c r="BJ156" s="168"/>
      <c r="BK156" s="168"/>
      <c r="BL156" s="168"/>
      <c r="BM156" s="168"/>
      <c r="BN156" s="168"/>
      <c r="BO156" s="168"/>
      <c r="BP156" s="168"/>
      <c r="BQ156" s="168"/>
      <c r="BR156" s="168"/>
    </row>
    <row r="157" spans="1:70" s="152" customFormat="1" x14ac:dyDescent="0.35">
      <c r="A157" s="187" t="s">
        <v>20</v>
      </c>
      <c r="B157" s="218">
        <f>'housing proportion projections'!I56</f>
        <v>1750.36034465748</v>
      </c>
      <c r="C157" s="186">
        <f>'housing proportion projections'!J56</f>
        <v>1750.36034465748</v>
      </c>
      <c r="D157" s="186">
        <f>'housing proportion projections'!K56</f>
        <v>1750.36034465748</v>
      </c>
      <c r="E157" s="186">
        <f>'housing proportion projections'!L56</f>
        <v>1750.36034465748</v>
      </c>
      <c r="F157" s="186">
        <f>'housing proportion projections'!M56</f>
        <v>1750.36034465748</v>
      </c>
      <c r="G157" s="218">
        <f>'housing proportion projections'!N56</f>
        <v>1750.36034465748</v>
      </c>
      <c r="H157" s="186">
        <f>'housing proportion projections'!O56</f>
        <v>1750.36034465748</v>
      </c>
      <c r="I157" s="186">
        <f>'housing proportion projections'!P56</f>
        <v>1750.36034465748</v>
      </c>
      <c r="J157" s="186">
        <f>'housing proportion projections'!Q56</f>
        <v>1750.36034465748</v>
      </c>
      <c r="K157" s="186">
        <f>'housing proportion projections'!R56</f>
        <v>1750.36034465748</v>
      </c>
      <c r="L157" s="186">
        <f>'housing proportion projections'!S56</f>
        <v>1750.36034465748</v>
      </c>
      <c r="M157" s="186">
        <f>'housing proportion projections'!T56</f>
        <v>1750.36034465748</v>
      </c>
      <c r="N157" s="186">
        <f>'housing proportion projections'!U56</f>
        <v>1750.36034465748</v>
      </c>
      <c r="O157" s="194">
        <f t="shared" ref="O157:O160" si="285">SUM(B157:N157)</f>
        <v>22754.684480547246</v>
      </c>
      <c r="P157" s="159"/>
      <c r="Q157" s="168"/>
      <c r="R157" s="147"/>
      <c r="S157" s="168"/>
      <c r="T157" s="168"/>
      <c r="U157" s="168"/>
      <c r="V157" s="168"/>
      <c r="W157" s="168"/>
      <c r="X157" s="168"/>
      <c r="Y157" s="168"/>
      <c r="Z157" s="168"/>
      <c r="AA157" s="168"/>
      <c r="AB157" s="168"/>
      <c r="AC157" s="168"/>
      <c r="AD157" s="151"/>
      <c r="AE157" s="168"/>
      <c r="AF157" s="168"/>
      <c r="AG157" s="168"/>
      <c r="AH157" s="151"/>
      <c r="AI157" s="168"/>
      <c r="AJ157" s="168"/>
      <c r="AK157" s="168"/>
      <c r="AL157" s="168"/>
      <c r="AM157" s="168"/>
      <c r="AN157" s="168"/>
      <c r="AO157" s="168"/>
      <c r="AP157" s="168"/>
      <c r="AQ157" s="168"/>
      <c r="AR157" s="168"/>
      <c r="AS157" s="168"/>
      <c r="AT157" s="168"/>
      <c r="AU157" s="168"/>
      <c r="AV157" s="168"/>
      <c r="AW157" s="168"/>
      <c r="AX157" s="168"/>
      <c r="AY157" s="168"/>
      <c r="AZ157" s="168"/>
      <c r="BA157" s="168"/>
      <c r="BB157" s="168"/>
      <c r="BC157" s="168"/>
      <c r="BD157" s="168"/>
      <c r="BE157" s="168"/>
      <c r="BF157" s="168"/>
      <c r="BG157" s="168"/>
      <c r="BH157" s="168"/>
      <c r="BI157" s="168"/>
      <c r="BJ157" s="168"/>
      <c r="BK157" s="168"/>
      <c r="BL157" s="168"/>
      <c r="BM157" s="168"/>
      <c r="BN157" s="168"/>
      <c r="BO157" s="168"/>
      <c r="BP157" s="168"/>
      <c r="BQ157" s="168"/>
      <c r="BR157" s="168"/>
    </row>
    <row r="158" spans="1:70" s="158" customFormat="1" x14ac:dyDescent="0.35">
      <c r="A158" s="187" t="s">
        <v>21</v>
      </c>
      <c r="B158" s="218">
        <f>'housing proportion projections'!I57</f>
        <v>3180.9316111421713</v>
      </c>
      <c r="C158" s="186">
        <f>'housing proportion projections'!J57</f>
        <v>3180.9316111421713</v>
      </c>
      <c r="D158" s="186">
        <f>'housing proportion projections'!K57</f>
        <v>3180.9316111421713</v>
      </c>
      <c r="E158" s="186">
        <f>'housing proportion projections'!L57</f>
        <v>3180.9316111421713</v>
      </c>
      <c r="F158" s="186">
        <f>'housing proportion projections'!M57</f>
        <v>3180.9316111421713</v>
      </c>
      <c r="G158" s="218">
        <f>'housing proportion projections'!N57</f>
        <v>3180.9316111421713</v>
      </c>
      <c r="H158" s="186">
        <f>'housing proportion projections'!O57</f>
        <v>3180.9316111421713</v>
      </c>
      <c r="I158" s="186">
        <f>'housing proportion projections'!P57</f>
        <v>3180.9316111421713</v>
      </c>
      <c r="J158" s="186">
        <f>'housing proportion projections'!Q57</f>
        <v>3180.9316111421713</v>
      </c>
      <c r="K158" s="186">
        <f>'housing proportion projections'!R57</f>
        <v>3180.9316111421713</v>
      </c>
      <c r="L158" s="186">
        <f>'housing proportion projections'!S57</f>
        <v>3180.9316111421713</v>
      </c>
      <c r="M158" s="186">
        <f>'housing proportion projections'!T57</f>
        <v>3180.9316111421713</v>
      </c>
      <c r="N158" s="186">
        <f>'housing proportion projections'!U57</f>
        <v>3180.9316111421713</v>
      </c>
      <c r="O158" s="194">
        <f t="shared" si="285"/>
        <v>41352.110944848231</v>
      </c>
      <c r="P158" s="167"/>
      <c r="Q158" s="168"/>
      <c r="R158" s="147"/>
      <c r="S158" s="168"/>
      <c r="T158" s="168"/>
      <c r="U158" s="168"/>
      <c r="V158" s="168"/>
      <c r="W158" s="168"/>
      <c r="X158" s="168"/>
      <c r="Y158" s="168"/>
      <c r="Z158" s="168"/>
      <c r="AA158" s="168"/>
      <c r="AB158" s="168"/>
      <c r="AC158" s="168"/>
      <c r="AD158" s="151"/>
      <c r="AE158" s="168"/>
      <c r="AF158" s="168"/>
      <c r="AG158" s="168"/>
      <c r="AH158" s="151"/>
      <c r="AI158" s="168"/>
      <c r="AJ158" s="168"/>
      <c r="AK158" s="168"/>
      <c r="AL158" s="168"/>
      <c r="AM158" s="168"/>
      <c r="AN158" s="168"/>
      <c r="AO158" s="168"/>
      <c r="AP158" s="168"/>
      <c r="AQ158" s="168"/>
      <c r="AR158" s="168"/>
      <c r="AS158" s="168"/>
      <c r="AT158" s="168"/>
      <c r="AU158" s="168"/>
      <c r="AV158" s="168"/>
      <c r="AW158" s="168"/>
      <c r="AX158" s="168"/>
      <c r="AY158" s="168"/>
      <c r="AZ158" s="168"/>
      <c r="BA158" s="168"/>
      <c r="BB158" s="168"/>
      <c r="BC158" s="168"/>
      <c r="BD158" s="168"/>
      <c r="BE158" s="168"/>
      <c r="BF158" s="168"/>
      <c r="BG158" s="168"/>
      <c r="BH158" s="168"/>
      <c r="BI158" s="168"/>
      <c r="BJ158" s="168"/>
      <c r="BK158" s="168"/>
      <c r="BL158" s="168"/>
      <c r="BM158" s="168"/>
      <c r="BN158" s="168"/>
      <c r="BO158" s="168"/>
      <c r="BP158" s="168"/>
      <c r="BQ158" s="168"/>
      <c r="BR158" s="168"/>
    </row>
    <row r="159" spans="1:70" s="152" customFormat="1" ht="15" thickBot="1" x14ac:dyDescent="0.4">
      <c r="A159" s="187" t="s">
        <v>26</v>
      </c>
      <c r="B159" s="218">
        <f>'housing proportion projections'!I58</f>
        <v>3486.0227414740025</v>
      </c>
      <c r="C159" s="186">
        <f>'housing proportion projections'!J58</f>
        <v>3486.0227414740025</v>
      </c>
      <c r="D159" s="186">
        <f>'housing proportion projections'!K58</f>
        <v>3486.0227414740025</v>
      </c>
      <c r="E159" s="186">
        <f>'housing proportion projections'!L58</f>
        <v>3486.0227414740025</v>
      </c>
      <c r="F159" s="186">
        <f>'housing proportion projections'!M58</f>
        <v>3486.0227414740025</v>
      </c>
      <c r="G159" s="218">
        <f>'housing proportion projections'!N58</f>
        <v>3486.0227414740025</v>
      </c>
      <c r="H159" s="186">
        <f>'housing proportion projections'!O58</f>
        <v>3486.0227414740025</v>
      </c>
      <c r="I159" s="186">
        <f>'housing proportion projections'!P58</f>
        <v>3486.0227414740025</v>
      </c>
      <c r="J159" s="186">
        <f>'housing proportion projections'!Q58</f>
        <v>3486.0227414740025</v>
      </c>
      <c r="K159" s="186">
        <f>'housing proportion projections'!R58</f>
        <v>3486.0227414740025</v>
      </c>
      <c r="L159" s="186">
        <f>'housing proportion projections'!S58</f>
        <v>3486.0227414740025</v>
      </c>
      <c r="M159" s="186">
        <f>'housing proportion projections'!T58</f>
        <v>3486.0227414740025</v>
      </c>
      <c r="N159" s="186">
        <f>'housing proportion projections'!U58</f>
        <v>3486.0227414740025</v>
      </c>
      <c r="O159" s="194">
        <f t="shared" si="285"/>
        <v>45318.295639162032</v>
      </c>
      <c r="P159" s="159"/>
      <c r="Q159" s="168"/>
      <c r="R159" s="147"/>
      <c r="S159" s="168"/>
      <c r="T159" s="168"/>
      <c r="U159" s="168"/>
      <c r="V159" s="168"/>
      <c r="W159" s="168"/>
      <c r="X159" s="168"/>
      <c r="Y159" s="168"/>
      <c r="Z159" s="168"/>
      <c r="AA159" s="168"/>
      <c r="AB159" s="168"/>
      <c r="AC159" s="168"/>
      <c r="AD159" s="151"/>
      <c r="AE159" s="168"/>
      <c r="AF159" s="168"/>
      <c r="AG159" s="168"/>
      <c r="AH159" s="151"/>
      <c r="AI159" s="168"/>
      <c r="AJ159" s="168"/>
      <c r="AK159" s="168"/>
      <c r="AL159" s="168"/>
      <c r="AM159" s="168"/>
      <c r="AN159" s="168"/>
      <c r="AO159" s="168"/>
      <c r="AP159" s="168"/>
      <c r="AQ159" s="168"/>
      <c r="AR159" s="168"/>
      <c r="AS159" s="168"/>
      <c r="AT159" s="168"/>
      <c r="AU159" s="168"/>
      <c r="AV159" s="168"/>
      <c r="AW159" s="168"/>
      <c r="AX159" s="168"/>
      <c r="AY159" s="168"/>
      <c r="AZ159" s="168"/>
      <c r="BA159" s="168"/>
      <c r="BB159" s="168"/>
      <c r="BC159" s="168"/>
      <c r="BD159" s="168"/>
      <c r="BE159" s="168"/>
      <c r="BF159" s="168"/>
      <c r="BG159" s="168"/>
      <c r="BH159" s="168"/>
      <c r="BI159" s="168"/>
      <c r="BJ159" s="168"/>
      <c r="BK159" s="168"/>
      <c r="BL159" s="168"/>
      <c r="BM159" s="168"/>
      <c r="BN159" s="168"/>
      <c r="BO159" s="168"/>
      <c r="BP159" s="168"/>
      <c r="BQ159" s="168"/>
      <c r="BR159" s="168"/>
    </row>
    <row r="160" spans="1:70" s="156" customFormat="1" x14ac:dyDescent="0.35">
      <c r="A160" s="190" t="s">
        <v>22</v>
      </c>
      <c r="B160" s="218">
        <f>'housing proportion projections'!I59</f>
        <v>2160.7722728319136</v>
      </c>
      <c r="C160" s="186">
        <f>'housing proportion projections'!J59</f>
        <v>2160.7722728319136</v>
      </c>
      <c r="D160" s="186">
        <f>'housing proportion projections'!K59</f>
        <v>2160.7722728319136</v>
      </c>
      <c r="E160" s="186">
        <f>'housing proportion projections'!L59</f>
        <v>2160.7722728319136</v>
      </c>
      <c r="F160" s="186">
        <f>'housing proportion projections'!M59</f>
        <v>2160.7722728319136</v>
      </c>
      <c r="G160" s="218">
        <f>'housing proportion projections'!N59</f>
        <v>2160.7722728319136</v>
      </c>
      <c r="H160" s="186">
        <f>'housing proportion projections'!O59</f>
        <v>2160.7722728319136</v>
      </c>
      <c r="I160" s="186">
        <f>'housing proportion projections'!P59</f>
        <v>2160.7722728319136</v>
      </c>
      <c r="J160" s="186">
        <f>'housing proportion projections'!Q59</f>
        <v>2160.7722728319136</v>
      </c>
      <c r="K160" s="186">
        <f>'housing proportion projections'!R59</f>
        <v>2160.7722728319136</v>
      </c>
      <c r="L160" s="186">
        <f>'housing proportion projections'!S59</f>
        <v>2160.7722728319136</v>
      </c>
      <c r="M160" s="186">
        <f>'housing proportion projections'!T59</f>
        <v>2160.7722728319136</v>
      </c>
      <c r="N160" s="186">
        <f>'housing proportion projections'!U59</f>
        <v>2160.7722728319136</v>
      </c>
      <c r="O160" s="194">
        <f t="shared" si="285"/>
        <v>28090.039546814874</v>
      </c>
      <c r="P160" s="161"/>
      <c r="Q160" s="168"/>
      <c r="R160" s="147"/>
      <c r="S160" s="168"/>
      <c r="T160" s="168"/>
      <c r="U160" s="168"/>
      <c r="V160" s="168"/>
      <c r="W160" s="168"/>
      <c r="X160" s="168"/>
      <c r="Y160" s="168"/>
      <c r="Z160" s="168"/>
      <c r="AA160" s="168"/>
      <c r="AB160" s="168"/>
      <c r="AC160" s="168"/>
      <c r="AD160" s="151"/>
      <c r="AE160" s="168"/>
      <c r="AF160" s="168"/>
      <c r="AG160" s="168"/>
      <c r="AH160" s="151"/>
      <c r="AI160" s="168"/>
      <c r="AJ160" s="168"/>
      <c r="AK160" s="168"/>
      <c r="AL160" s="168"/>
      <c r="AM160" s="168"/>
      <c r="AN160" s="168"/>
      <c r="AO160" s="168"/>
      <c r="AP160" s="168"/>
      <c r="AQ160" s="168"/>
      <c r="AR160" s="168"/>
      <c r="AS160" s="168"/>
      <c r="AT160" s="168"/>
      <c r="AU160" s="168"/>
      <c r="AV160" s="168"/>
      <c r="AW160" s="168"/>
      <c r="AX160" s="168"/>
      <c r="AY160" s="168"/>
      <c r="AZ160" s="168"/>
      <c r="BA160" s="168"/>
      <c r="BB160" s="168"/>
      <c r="BC160" s="168"/>
      <c r="BD160" s="168"/>
      <c r="BE160" s="168"/>
      <c r="BF160" s="168"/>
      <c r="BG160" s="168"/>
      <c r="BH160" s="168"/>
      <c r="BI160" s="168"/>
      <c r="BJ160" s="168"/>
      <c r="BK160" s="168"/>
      <c r="BL160" s="168"/>
      <c r="BM160" s="168"/>
      <c r="BN160" s="168"/>
      <c r="BO160" s="168"/>
      <c r="BP160" s="168"/>
      <c r="BQ160" s="168"/>
      <c r="BR160" s="168"/>
    </row>
    <row r="161" spans="1:70" s="155" customFormat="1" ht="15" thickBot="1" x14ac:dyDescent="0.4">
      <c r="A161" s="179"/>
      <c r="B161" s="212"/>
      <c r="C161" s="179"/>
      <c r="D161" s="179"/>
      <c r="E161" s="179"/>
      <c r="F161" s="179"/>
      <c r="G161" s="212"/>
      <c r="H161" s="179"/>
      <c r="I161" s="179"/>
      <c r="J161" s="179"/>
      <c r="K161" s="179"/>
      <c r="L161" s="179"/>
      <c r="M161" s="179"/>
      <c r="N161" s="179"/>
      <c r="O161" s="179"/>
      <c r="P161" s="162"/>
      <c r="Q161" s="168"/>
      <c r="R161" s="147"/>
      <c r="S161" s="168"/>
      <c r="T161" s="168"/>
      <c r="U161" s="168"/>
      <c r="V161" s="168"/>
      <c r="W161" s="168"/>
      <c r="X161" s="168"/>
      <c r="Y161" s="168"/>
      <c r="Z161" s="168"/>
      <c r="AA161" s="168"/>
      <c r="AB161" s="168"/>
      <c r="AC161" s="168"/>
      <c r="AD161" s="151"/>
      <c r="AE161" s="168"/>
      <c r="AF161" s="168"/>
      <c r="AG161" s="168"/>
      <c r="AH161" s="151"/>
      <c r="AI161" s="168"/>
      <c r="AJ161" s="168"/>
      <c r="AK161" s="168"/>
      <c r="AL161" s="168"/>
      <c r="AM161" s="168"/>
      <c r="AN161" s="168"/>
      <c r="AO161" s="168"/>
      <c r="AP161" s="168"/>
      <c r="AQ161" s="168"/>
      <c r="AR161" s="168"/>
      <c r="AS161" s="168"/>
      <c r="AT161" s="168"/>
      <c r="AU161" s="168"/>
      <c r="AV161" s="168"/>
      <c r="AW161" s="168"/>
      <c r="AX161" s="168"/>
      <c r="AY161" s="168"/>
      <c r="AZ161" s="168"/>
      <c r="BA161" s="168"/>
      <c r="BB161" s="168"/>
      <c r="BC161" s="168"/>
      <c r="BD161" s="168"/>
      <c r="BE161" s="168"/>
      <c r="BF161" s="168"/>
      <c r="BG161" s="168"/>
      <c r="BH161" s="168"/>
      <c r="BI161" s="168"/>
      <c r="BJ161" s="168"/>
      <c r="BK161" s="168"/>
      <c r="BL161" s="168"/>
      <c r="BM161" s="168"/>
      <c r="BN161" s="168"/>
      <c r="BO161" s="168"/>
      <c r="BP161" s="168"/>
      <c r="BQ161" s="168"/>
      <c r="BR161" s="168"/>
    </row>
    <row r="162" spans="1:70" s="155" customFormat="1" x14ac:dyDescent="0.35">
      <c r="A162" s="191" t="s">
        <v>134</v>
      </c>
      <c r="B162" s="213"/>
      <c r="C162" s="192"/>
      <c r="D162" s="192"/>
      <c r="E162" s="192"/>
      <c r="F162" s="192"/>
      <c r="G162" s="213"/>
      <c r="H162" s="192"/>
      <c r="I162" s="192"/>
      <c r="J162" s="192"/>
      <c r="K162" s="192"/>
      <c r="L162" s="192"/>
      <c r="M162" s="192"/>
      <c r="N162" s="192"/>
      <c r="O162" s="192"/>
      <c r="P162" s="163"/>
      <c r="Q162" s="168"/>
      <c r="R162" s="147"/>
      <c r="S162" s="168"/>
      <c r="T162" s="168"/>
      <c r="U162" s="168"/>
      <c r="V162" s="168"/>
      <c r="W162" s="168"/>
      <c r="X162" s="168"/>
      <c r="Y162" s="168"/>
      <c r="Z162" s="168"/>
      <c r="AA162" s="168"/>
      <c r="AB162" s="168"/>
      <c r="AC162" s="168"/>
      <c r="AD162" s="151"/>
      <c r="AE162" s="168"/>
      <c r="AF162" s="168"/>
      <c r="AG162" s="168"/>
      <c r="AH162" s="151"/>
      <c r="AI162" s="168"/>
      <c r="AJ162" s="168"/>
      <c r="AK162" s="168"/>
      <c r="AL162" s="168"/>
      <c r="AM162" s="168"/>
      <c r="AN162" s="168"/>
      <c r="AO162" s="168"/>
      <c r="AP162" s="168"/>
      <c r="AQ162" s="168"/>
      <c r="AR162" s="168"/>
      <c r="AS162" s="168"/>
      <c r="AT162" s="168"/>
      <c r="AU162" s="168"/>
      <c r="AV162" s="168"/>
      <c r="AW162" s="168"/>
      <c r="AX162" s="168"/>
      <c r="AY162" s="168"/>
      <c r="AZ162" s="168"/>
      <c r="BA162" s="168"/>
      <c r="BB162" s="168"/>
      <c r="BC162" s="168"/>
      <c r="BD162" s="168"/>
      <c r="BE162" s="168"/>
      <c r="BF162" s="168"/>
      <c r="BG162" s="168"/>
      <c r="BH162" s="168"/>
      <c r="BI162" s="168"/>
      <c r="BJ162" s="168"/>
      <c r="BK162" s="168"/>
      <c r="BL162" s="168"/>
      <c r="BM162" s="168"/>
      <c r="BN162" s="168"/>
      <c r="BO162" s="168"/>
      <c r="BP162" s="168"/>
      <c r="BQ162" s="168"/>
      <c r="BR162" s="168"/>
    </row>
    <row r="163" spans="1:70" s="155" customFormat="1" x14ac:dyDescent="0.35">
      <c r="A163" s="193" t="s">
        <v>112</v>
      </c>
      <c r="B163" s="214">
        <f>((B157*$AE$28)+(B158*$AE$29)+(B159*$AE$30)+(B160*$AE$31))*30</f>
        <v>82209425.352853179</v>
      </c>
      <c r="C163" s="214">
        <f t="shared" ref="C163:F163" si="286">((C157*$AE$28)+(C158*$AE$29)+(C159*$AE$30)+(C160*$AE$31))*30</f>
        <v>82209425.352853179</v>
      </c>
      <c r="D163" s="214">
        <f t="shared" si="286"/>
        <v>82209425.352853179</v>
      </c>
      <c r="E163" s="214">
        <f t="shared" si="286"/>
        <v>82209425.352853179</v>
      </c>
      <c r="F163" s="214">
        <f t="shared" si="286"/>
        <v>82209425.352853179</v>
      </c>
      <c r="G163" s="214">
        <f>((G157*$AI$28)+(G158*$AI$29)+(G159*$AI$30)+(G160*$AI$31))*30</f>
        <v>81229969.417786106</v>
      </c>
      <c r="H163" s="214">
        <f t="shared" ref="H163:N163" si="287">((H157*$AI$28)+(H158*$AI$29)+(H159*$AI$30)+(H160*$AI$31))*30</f>
        <v>81229969.417786106</v>
      </c>
      <c r="I163" s="214">
        <f t="shared" si="287"/>
        <v>81229969.417786106</v>
      </c>
      <c r="J163" s="214">
        <f t="shared" si="287"/>
        <v>81229969.417786106</v>
      </c>
      <c r="K163" s="214">
        <f t="shared" si="287"/>
        <v>81229969.417786106</v>
      </c>
      <c r="L163" s="214">
        <f t="shared" si="287"/>
        <v>81229969.417786106</v>
      </c>
      <c r="M163" s="214">
        <f t="shared" si="287"/>
        <v>81229969.417786106</v>
      </c>
      <c r="N163" s="214">
        <f t="shared" si="287"/>
        <v>81229969.417786106</v>
      </c>
      <c r="O163" s="214">
        <f>SUM(B163:N163)</f>
        <v>1060886882.1065549</v>
      </c>
      <c r="P163" s="162"/>
      <c r="Q163" s="168"/>
      <c r="R163" s="147"/>
      <c r="S163" s="168"/>
      <c r="T163" s="168"/>
      <c r="U163" s="168"/>
      <c r="V163" s="168"/>
      <c r="W163" s="168"/>
      <c r="X163" s="168"/>
      <c r="Y163" s="168"/>
      <c r="Z163" s="168"/>
      <c r="AA163" s="168"/>
      <c r="AB163" s="168"/>
      <c r="AC163" s="168"/>
      <c r="AD163" s="151"/>
      <c r="AE163" s="168"/>
      <c r="AF163" s="168"/>
      <c r="AG163" s="168"/>
      <c r="AH163" s="151"/>
      <c r="AI163" s="168"/>
      <c r="AJ163" s="168"/>
      <c r="AK163" s="168"/>
      <c r="AL163" s="168"/>
      <c r="AM163" s="168"/>
      <c r="AN163" s="168"/>
      <c r="AO163" s="168"/>
      <c r="AP163" s="168"/>
      <c r="AQ163" s="168"/>
      <c r="AR163" s="168"/>
      <c r="AS163" s="168"/>
      <c r="AT163" s="168"/>
      <c r="AU163" s="168"/>
      <c r="AV163" s="168"/>
      <c r="AW163" s="168"/>
      <c r="AX163" s="168"/>
      <c r="AY163" s="168"/>
      <c r="AZ163" s="168"/>
      <c r="BA163" s="168"/>
      <c r="BB163" s="168"/>
      <c r="BC163" s="168"/>
      <c r="BD163" s="168"/>
      <c r="BE163" s="168"/>
      <c r="BF163" s="168"/>
      <c r="BG163" s="168"/>
      <c r="BH163" s="168"/>
      <c r="BI163" s="168"/>
      <c r="BJ163" s="168"/>
      <c r="BK163" s="168"/>
      <c r="BL163" s="168"/>
      <c r="BM163" s="168"/>
      <c r="BN163" s="168"/>
      <c r="BO163" s="168"/>
      <c r="BP163" s="168"/>
      <c r="BQ163" s="168"/>
      <c r="BR163" s="168"/>
    </row>
    <row r="164" spans="1:70" s="155" customFormat="1" x14ac:dyDescent="0.35">
      <c r="A164" s="193" t="s">
        <v>113</v>
      </c>
      <c r="B164" s="214">
        <f t="shared" ref="B164" si="288">B163/1000</f>
        <v>82209.425352853184</v>
      </c>
      <c r="C164" s="214">
        <f t="shared" ref="C164" si="289">C163/1000</f>
        <v>82209.425352853184</v>
      </c>
      <c r="D164" s="214">
        <f t="shared" ref="D164" si="290">D163/1000</f>
        <v>82209.425352853184</v>
      </c>
      <c r="E164" s="214">
        <f t="shared" ref="E164" si="291">E163/1000</f>
        <v>82209.425352853184</v>
      </c>
      <c r="F164" s="214">
        <f t="shared" ref="F164" si="292">F163/1000</f>
        <v>82209.425352853184</v>
      </c>
      <c r="G164" s="214">
        <f t="shared" ref="G164" si="293">G163/1000</f>
        <v>81229.969417786109</v>
      </c>
      <c r="H164" s="214">
        <f t="shared" ref="H164" si="294">H163/1000</f>
        <v>81229.969417786109</v>
      </c>
      <c r="I164" s="214">
        <f t="shared" ref="I164" si="295">I163/1000</f>
        <v>81229.969417786109</v>
      </c>
      <c r="J164" s="214">
        <f t="shared" ref="J164" si="296">J163/1000</f>
        <v>81229.969417786109</v>
      </c>
      <c r="K164" s="214">
        <f t="shared" ref="K164" si="297">K163/1000</f>
        <v>81229.969417786109</v>
      </c>
      <c r="L164" s="214">
        <f t="shared" ref="L164" si="298">L163/1000</f>
        <v>81229.969417786109</v>
      </c>
      <c r="M164" s="214">
        <f t="shared" ref="M164" si="299">M163/1000</f>
        <v>81229.969417786109</v>
      </c>
      <c r="N164" s="214">
        <f t="shared" ref="N164" si="300">N163/1000</f>
        <v>81229.969417786109</v>
      </c>
      <c r="O164" s="214">
        <f t="shared" ref="O164" si="301">O163/1000</f>
        <v>1060886.8821065549</v>
      </c>
      <c r="P164" s="162"/>
      <c r="Q164" s="168"/>
      <c r="R164" s="147"/>
      <c r="S164" s="168"/>
      <c r="T164" s="168"/>
      <c r="U164" s="168"/>
      <c r="V164" s="168"/>
      <c r="W164" s="168"/>
      <c r="X164" s="168"/>
      <c r="Y164" s="168"/>
      <c r="Z164" s="168"/>
      <c r="AA164" s="168"/>
      <c r="AB164" s="168"/>
      <c r="AC164" s="168"/>
      <c r="AD164" s="151"/>
      <c r="AE164" s="168"/>
      <c r="AF164" s="168"/>
      <c r="AG164" s="168"/>
      <c r="AH164" s="151"/>
      <c r="AI164" s="168"/>
      <c r="AJ164" s="168"/>
      <c r="AK164" s="168"/>
      <c r="AL164" s="168"/>
      <c r="AM164" s="168"/>
      <c r="AN164" s="168"/>
      <c r="AO164" s="168"/>
      <c r="AP164" s="168"/>
      <c r="AQ164" s="168"/>
      <c r="AR164" s="168"/>
      <c r="AS164" s="168"/>
      <c r="AT164" s="168"/>
      <c r="AU164" s="168"/>
      <c r="AV164" s="168"/>
      <c r="AW164" s="168"/>
      <c r="AX164" s="168"/>
      <c r="AY164" s="168"/>
      <c r="AZ164" s="168"/>
      <c r="BA164" s="168"/>
      <c r="BB164" s="168"/>
      <c r="BC164" s="168"/>
      <c r="BD164" s="168"/>
      <c r="BE164" s="168"/>
      <c r="BF164" s="168"/>
      <c r="BG164" s="168"/>
      <c r="BH164" s="168"/>
      <c r="BI164" s="168"/>
      <c r="BJ164" s="168"/>
      <c r="BK164" s="168"/>
      <c r="BL164" s="168"/>
      <c r="BM164" s="168"/>
      <c r="BN164" s="168"/>
      <c r="BO164" s="168"/>
      <c r="BP164" s="168"/>
      <c r="BQ164" s="168"/>
      <c r="BR164" s="168"/>
    </row>
    <row r="165" spans="1:70" s="157" customFormat="1" ht="15" thickBot="1" x14ac:dyDescent="0.4">
      <c r="A165" s="193" t="s">
        <v>64</v>
      </c>
      <c r="B165" s="215">
        <f t="shared" ref="B165" si="302">B164*$AB$2</f>
        <v>16441885.070570637</v>
      </c>
      <c r="C165" s="215">
        <f t="shared" ref="C165" si="303">C164*$AB$2</f>
        <v>16441885.070570637</v>
      </c>
      <c r="D165" s="215">
        <f t="shared" ref="D165" si="304">D164*$AB$2</f>
        <v>16441885.070570637</v>
      </c>
      <c r="E165" s="215">
        <f>E164*$AB$2</f>
        <v>16441885.070570637</v>
      </c>
      <c r="F165" s="215">
        <f t="shared" ref="F165" si="305">F164*$AB$2</f>
        <v>16441885.070570637</v>
      </c>
      <c r="G165" s="215">
        <f t="shared" ref="G165" si="306">G164*$AB$2</f>
        <v>16245993.883557223</v>
      </c>
      <c r="H165" s="215">
        <f t="shared" ref="H165" si="307">H164*$AB$2</f>
        <v>16245993.883557223</v>
      </c>
      <c r="I165" s="215">
        <f t="shared" ref="I165" si="308">I164*$AB$2</f>
        <v>16245993.883557223</v>
      </c>
      <c r="J165" s="215">
        <f t="shared" ref="J165" si="309">J164*$AB$2</f>
        <v>16245993.883557223</v>
      </c>
      <c r="K165" s="215">
        <f t="shared" ref="K165" si="310">K164*$AB$2</f>
        <v>16245993.883557223</v>
      </c>
      <c r="L165" s="215">
        <f t="shared" ref="L165" si="311">L164*$AB$2</f>
        <v>16245993.883557223</v>
      </c>
      <c r="M165" s="215">
        <f t="shared" ref="M165" si="312">M164*$AB$2</f>
        <v>16245993.883557223</v>
      </c>
      <c r="N165" s="215">
        <f t="shared" ref="N165" si="313">N164*$AB$2</f>
        <v>16245993.883557223</v>
      </c>
      <c r="O165" s="215">
        <f t="shared" ref="O165" si="314">O164*$AB$2</f>
        <v>212177376.42131099</v>
      </c>
      <c r="P165" s="164"/>
      <c r="Q165" s="168"/>
      <c r="R165" s="147"/>
      <c r="S165" s="168"/>
      <c r="T165" s="168"/>
      <c r="U165" s="168"/>
      <c r="V165" s="168"/>
      <c r="W165" s="168"/>
      <c r="X165" s="168"/>
      <c r="Y165" s="168"/>
      <c r="Z165" s="168"/>
      <c r="AA165" s="168"/>
      <c r="AB165" s="168"/>
      <c r="AC165" s="168"/>
      <c r="AD165" s="151"/>
      <c r="AE165" s="168"/>
      <c r="AF165" s="168"/>
      <c r="AG165" s="168"/>
      <c r="AH165" s="151"/>
      <c r="AI165" s="168"/>
      <c r="AJ165" s="168"/>
      <c r="AK165" s="168"/>
      <c r="AL165" s="168"/>
      <c r="AM165" s="168"/>
      <c r="AN165" s="168"/>
      <c r="AO165" s="168"/>
      <c r="AP165" s="168"/>
      <c r="AQ165" s="168"/>
      <c r="AR165" s="168"/>
      <c r="AS165" s="168"/>
      <c r="AT165" s="168"/>
      <c r="AU165" s="168"/>
      <c r="AV165" s="168"/>
      <c r="AW165" s="168"/>
      <c r="AX165" s="168"/>
      <c r="AY165" s="168"/>
      <c r="AZ165" s="168"/>
      <c r="BA165" s="168"/>
      <c r="BB165" s="168"/>
      <c r="BC165" s="168"/>
      <c r="BD165" s="168"/>
      <c r="BE165" s="168"/>
      <c r="BF165" s="168"/>
      <c r="BG165" s="168"/>
      <c r="BH165" s="168"/>
      <c r="BI165" s="168"/>
      <c r="BJ165" s="168"/>
      <c r="BK165" s="168"/>
      <c r="BL165" s="168"/>
      <c r="BM165" s="168"/>
      <c r="BN165" s="168"/>
      <c r="BO165" s="168"/>
      <c r="BP165" s="168"/>
      <c r="BQ165" s="168"/>
      <c r="BR165" s="168"/>
    </row>
    <row r="166" spans="1:70" s="152" customFormat="1" x14ac:dyDescent="0.35">
      <c r="A166" s="193"/>
      <c r="B166" s="214"/>
      <c r="C166" s="194"/>
      <c r="D166" s="194"/>
      <c r="E166" s="194"/>
      <c r="F166" s="194"/>
      <c r="G166" s="214"/>
      <c r="H166" s="194"/>
      <c r="I166" s="194"/>
      <c r="J166" s="194"/>
      <c r="K166" s="194"/>
      <c r="L166" s="194"/>
      <c r="M166" s="194"/>
      <c r="N166" s="194"/>
      <c r="O166" s="194"/>
      <c r="P166" s="159"/>
      <c r="Q166" s="168"/>
      <c r="R166" s="147"/>
      <c r="S166" s="168"/>
      <c r="T166" s="168"/>
      <c r="U166" s="168"/>
      <c r="V166" s="168"/>
      <c r="W166" s="168"/>
      <c r="X166" s="168"/>
      <c r="Y166" s="168"/>
      <c r="Z166" s="168"/>
      <c r="AA166" s="168"/>
      <c r="AB166" s="168"/>
      <c r="AC166" s="168"/>
      <c r="AD166" s="151"/>
      <c r="AE166" s="168"/>
      <c r="AF166" s="168"/>
      <c r="AG166" s="168"/>
      <c r="AH166" s="151"/>
      <c r="AI166" s="168"/>
      <c r="AJ166" s="168"/>
      <c r="AK166" s="168"/>
      <c r="AL166" s="168"/>
      <c r="AM166" s="168"/>
      <c r="AN166" s="168"/>
      <c r="AO166" s="168"/>
      <c r="AP166" s="168"/>
      <c r="AQ166" s="168"/>
      <c r="AR166" s="168"/>
      <c r="AS166" s="168"/>
      <c r="AT166" s="168"/>
      <c r="AU166" s="168"/>
      <c r="AV166" s="168"/>
      <c r="AW166" s="168"/>
      <c r="AX166" s="168"/>
      <c r="AY166" s="168"/>
      <c r="AZ166" s="168"/>
      <c r="BA166" s="168"/>
      <c r="BB166" s="168"/>
      <c r="BC166" s="168"/>
      <c r="BD166" s="168"/>
      <c r="BE166" s="168"/>
      <c r="BF166" s="168"/>
      <c r="BG166" s="168"/>
      <c r="BH166" s="168"/>
      <c r="BI166" s="168"/>
      <c r="BJ166" s="168"/>
      <c r="BK166" s="168"/>
      <c r="BL166" s="168"/>
      <c r="BM166" s="168"/>
      <c r="BN166" s="168"/>
      <c r="BO166" s="168"/>
      <c r="BP166" s="168"/>
      <c r="BQ166" s="168"/>
      <c r="BR166" s="168"/>
    </row>
    <row r="167" spans="1:70" s="152" customFormat="1" ht="15" thickBot="1" x14ac:dyDescent="0.4">
      <c r="A167" s="197"/>
      <c r="B167" s="216"/>
      <c r="C167" s="198"/>
      <c r="D167" s="198"/>
      <c r="E167" s="198"/>
      <c r="F167" s="198"/>
      <c r="G167" s="216"/>
      <c r="H167" s="198"/>
      <c r="I167" s="198"/>
      <c r="J167" s="198"/>
      <c r="K167" s="198"/>
      <c r="L167" s="198"/>
      <c r="M167" s="198"/>
      <c r="N167" s="198"/>
      <c r="O167" s="198"/>
      <c r="P167" s="159"/>
      <c r="Q167" s="168"/>
      <c r="R167" s="147"/>
      <c r="S167" s="168"/>
      <c r="T167" s="168"/>
      <c r="U167" s="168"/>
      <c r="V167" s="168"/>
      <c r="W167" s="168"/>
      <c r="X167" s="168"/>
      <c r="Y167" s="168"/>
      <c r="Z167" s="168"/>
      <c r="AA167" s="168"/>
      <c r="AB167" s="168"/>
      <c r="AC167" s="168"/>
      <c r="AD167" s="151"/>
      <c r="AE167" s="168"/>
      <c r="AF167" s="168"/>
      <c r="AG167" s="168"/>
      <c r="AH167" s="151"/>
      <c r="AI167" s="168"/>
      <c r="AJ167" s="168"/>
      <c r="AK167" s="168"/>
      <c r="AL167" s="168"/>
      <c r="AM167" s="168"/>
      <c r="AN167" s="168"/>
      <c r="AO167" s="168"/>
      <c r="AP167" s="168"/>
      <c r="AQ167" s="168"/>
      <c r="AR167" s="168"/>
      <c r="AS167" s="168"/>
      <c r="AT167" s="168"/>
      <c r="AU167" s="168"/>
      <c r="AV167" s="168"/>
      <c r="AW167" s="168"/>
      <c r="AX167" s="168"/>
      <c r="AY167" s="168"/>
      <c r="AZ167" s="168"/>
      <c r="BA167" s="168"/>
      <c r="BB167" s="168"/>
      <c r="BC167" s="168"/>
      <c r="BD167" s="168"/>
      <c r="BE167" s="168"/>
      <c r="BF167" s="168"/>
      <c r="BG167" s="168"/>
      <c r="BH167" s="168"/>
      <c r="BI167" s="168"/>
      <c r="BJ167" s="168"/>
      <c r="BK167" s="168"/>
      <c r="BL167" s="168"/>
      <c r="BM167" s="168"/>
      <c r="BN167" s="168"/>
      <c r="BO167" s="168"/>
      <c r="BP167" s="168"/>
      <c r="BQ167" s="168"/>
      <c r="BR167" s="168"/>
    </row>
    <row r="168" spans="1:70" s="152" customFormat="1" x14ac:dyDescent="0.35">
      <c r="A168" s="253"/>
      <c r="B168" s="262"/>
      <c r="C168" s="253"/>
      <c r="D168" s="253"/>
      <c r="E168" s="253"/>
      <c r="F168" s="253"/>
      <c r="G168" s="262"/>
      <c r="H168" s="253"/>
      <c r="I168" s="253"/>
      <c r="J168" s="253"/>
      <c r="K168" s="253"/>
      <c r="L168" s="253"/>
      <c r="M168" s="253"/>
      <c r="N168" s="253"/>
      <c r="O168" s="253"/>
      <c r="P168" s="159"/>
      <c r="Q168" s="168"/>
      <c r="R168" s="147"/>
      <c r="S168" s="168"/>
      <c r="T168" s="168"/>
      <c r="U168" s="168"/>
      <c r="V168" s="168"/>
      <c r="W168" s="168"/>
      <c r="X168" s="168"/>
      <c r="Y168" s="168"/>
      <c r="Z168" s="168"/>
      <c r="AA168" s="168"/>
      <c r="AB168" s="168"/>
      <c r="AC168" s="168"/>
      <c r="AD168" s="151"/>
      <c r="AE168" s="168"/>
      <c r="AF168" s="168"/>
      <c r="AG168" s="168"/>
      <c r="AH168" s="151"/>
      <c r="AI168" s="168"/>
      <c r="AJ168" s="168"/>
      <c r="AK168" s="168"/>
      <c r="AL168" s="168"/>
      <c r="AM168" s="168"/>
      <c r="AN168" s="168"/>
      <c r="AO168" s="168"/>
      <c r="AP168" s="168"/>
      <c r="AQ168" s="168"/>
      <c r="AR168" s="168"/>
      <c r="AS168" s="168"/>
      <c r="AT168" s="168"/>
      <c r="AU168" s="168"/>
      <c r="AV168" s="168"/>
      <c r="AW168" s="168"/>
      <c r="AX168" s="168"/>
      <c r="AY168" s="168"/>
      <c r="AZ168" s="168"/>
      <c r="BA168" s="168"/>
      <c r="BB168" s="168"/>
      <c r="BC168" s="168"/>
      <c r="BD168" s="168"/>
      <c r="BE168" s="168"/>
      <c r="BF168" s="168"/>
      <c r="BG168" s="168"/>
      <c r="BH168" s="168"/>
      <c r="BI168" s="168"/>
      <c r="BJ168" s="168"/>
      <c r="BK168" s="168"/>
      <c r="BL168" s="168"/>
      <c r="BM168" s="168"/>
      <c r="BN168" s="168"/>
      <c r="BO168" s="168"/>
      <c r="BP168" s="168"/>
      <c r="BQ168" s="168"/>
      <c r="BR168" s="168"/>
    </row>
    <row r="169" spans="1:70" s="152" customFormat="1" x14ac:dyDescent="0.35">
      <c r="A169" s="253"/>
      <c r="B169" s="262"/>
      <c r="C169" s="253"/>
      <c r="D169" s="253"/>
      <c r="E169" s="253"/>
      <c r="F169" s="253"/>
      <c r="G169" s="262"/>
      <c r="H169" s="253"/>
      <c r="I169" s="253"/>
      <c r="J169" s="253"/>
      <c r="K169" s="253"/>
      <c r="L169" s="253"/>
      <c r="M169" s="253"/>
      <c r="N169" s="253"/>
      <c r="O169" s="253"/>
      <c r="P169" s="160"/>
      <c r="Q169" s="168"/>
      <c r="R169" s="147"/>
      <c r="S169" s="168"/>
      <c r="T169" s="168"/>
      <c r="U169" s="168"/>
      <c r="V169" s="168"/>
      <c r="W169" s="168"/>
      <c r="X169" s="168"/>
      <c r="Y169" s="168"/>
      <c r="Z169" s="168"/>
      <c r="AA169" s="168"/>
      <c r="AB169" s="168"/>
      <c r="AC169" s="168"/>
      <c r="AD169" s="151"/>
      <c r="AE169" s="168"/>
      <c r="AF169" s="168"/>
      <c r="AG169" s="168"/>
      <c r="AH169" s="151"/>
      <c r="AI169" s="168"/>
      <c r="AJ169" s="168"/>
      <c r="AK169" s="168"/>
      <c r="AL169" s="168"/>
      <c r="AM169" s="168"/>
      <c r="AN169" s="168"/>
      <c r="AO169" s="168"/>
      <c r="AP169" s="168"/>
      <c r="AQ169" s="168"/>
      <c r="AR169" s="168"/>
      <c r="AS169" s="168"/>
      <c r="AT169" s="168"/>
      <c r="AU169" s="168"/>
      <c r="AV169" s="168"/>
      <c r="AW169" s="168"/>
      <c r="AX169" s="168"/>
      <c r="AY169" s="168"/>
      <c r="AZ169" s="168"/>
      <c r="BA169" s="168"/>
      <c r="BB169" s="168"/>
      <c r="BC169" s="168"/>
      <c r="BD169" s="168"/>
      <c r="BE169" s="168"/>
      <c r="BF169" s="168"/>
      <c r="BG169" s="168"/>
      <c r="BH169" s="168"/>
      <c r="BI169" s="168"/>
      <c r="BJ169" s="168"/>
      <c r="BK169" s="168"/>
      <c r="BL169" s="168"/>
      <c r="BM169" s="168"/>
      <c r="BN169" s="168"/>
      <c r="BO169" s="168"/>
      <c r="BP169" s="168"/>
      <c r="BQ169" s="168"/>
      <c r="BR169" s="168"/>
    </row>
    <row r="170" spans="1:70" s="152" customFormat="1" x14ac:dyDescent="0.35">
      <c r="A170" s="263" t="s">
        <v>0</v>
      </c>
      <c r="B170" s="252" t="s">
        <v>7</v>
      </c>
      <c r="C170" s="252" t="s">
        <v>8</v>
      </c>
      <c r="D170" s="252" t="s">
        <v>9</v>
      </c>
      <c r="E170" s="252" t="s">
        <v>10</v>
      </c>
      <c r="F170" s="252" t="s">
        <v>11</v>
      </c>
      <c r="G170" s="252" t="s">
        <v>12</v>
      </c>
      <c r="H170" s="252" t="s">
        <v>13</v>
      </c>
      <c r="I170" s="252" t="s">
        <v>14</v>
      </c>
      <c r="J170" s="252" t="s">
        <v>15</v>
      </c>
      <c r="K170" s="252" t="s">
        <v>16</v>
      </c>
      <c r="L170" s="264" t="s">
        <v>17</v>
      </c>
      <c r="M170" s="265" t="s">
        <v>23</v>
      </c>
      <c r="N170" s="265" t="s">
        <v>24</v>
      </c>
      <c r="O170" s="266" t="s">
        <v>18</v>
      </c>
      <c r="P170" s="159"/>
      <c r="Q170" s="168"/>
      <c r="R170" s="147"/>
      <c r="S170" s="168"/>
      <c r="T170" s="168"/>
      <c r="U170" s="168"/>
      <c r="V170" s="168"/>
      <c r="W170" s="168"/>
      <c r="X170" s="168"/>
      <c r="Y170" s="168"/>
      <c r="Z170" s="168"/>
      <c r="AA170" s="168"/>
      <c r="AB170" s="168"/>
      <c r="AC170" s="168"/>
      <c r="AD170" s="151"/>
      <c r="AE170" s="168"/>
      <c r="AF170" s="168"/>
      <c r="AG170" s="168"/>
      <c r="AH170" s="151"/>
      <c r="AI170" s="168"/>
      <c r="AJ170" s="168"/>
      <c r="AK170" s="168"/>
      <c r="AL170" s="168"/>
      <c r="AM170" s="168"/>
      <c r="AN170" s="168"/>
      <c r="AO170" s="168"/>
      <c r="AP170" s="168"/>
      <c r="AQ170" s="168"/>
      <c r="AR170" s="168"/>
      <c r="AS170" s="168"/>
      <c r="AT170" s="168"/>
      <c r="AU170" s="168"/>
      <c r="AV170" s="168"/>
      <c r="AW170" s="168"/>
      <c r="AX170" s="168"/>
      <c r="AY170" s="168"/>
      <c r="AZ170" s="168"/>
      <c r="BA170" s="168"/>
      <c r="BB170" s="168"/>
      <c r="BC170" s="168"/>
      <c r="BD170" s="168"/>
      <c r="BE170" s="168"/>
      <c r="BF170" s="168"/>
      <c r="BG170" s="168"/>
      <c r="BH170" s="168"/>
      <c r="BI170" s="168"/>
      <c r="BJ170" s="168"/>
      <c r="BK170" s="168"/>
      <c r="BL170" s="168"/>
      <c r="BM170" s="168"/>
      <c r="BN170" s="168"/>
      <c r="BO170" s="168"/>
      <c r="BP170" s="168"/>
      <c r="BQ170" s="168"/>
      <c r="BR170" s="168"/>
    </row>
    <row r="171" spans="1:70" s="152" customFormat="1" x14ac:dyDescent="0.35">
      <c r="A171" s="253"/>
      <c r="B171" s="259"/>
      <c r="C171" s="259"/>
      <c r="D171" s="259"/>
      <c r="E171" s="259"/>
      <c r="F171" s="259"/>
      <c r="G171" s="259"/>
      <c r="H171" s="259"/>
      <c r="I171" s="259"/>
      <c r="J171" s="259"/>
      <c r="K171" s="259"/>
      <c r="L171" s="259"/>
      <c r="M171" s="259"/>
      <c r="N171" s="267"/>
      <c r="O171" s="267"/>
      <c r="P171" s="159"/>
      <c r="Q171" s="168"/>
      <c r="R171" s="147"/>
      <c r="S171" s="168"/>
      <c r="T171" s="168"/>
      <c r="U171" s="168"/>
      <c r="V171" s="168"/>
      <c r="W171" s="168"/>
      <c r="X171" s="168"/>
      <c r="Y171" s="168"/>
      <c r="Z171" s="168"/>
      <c r="AA171" s="168"/>
      <c r="AB171" s="168"/>
      <c r="AC171" s="168"/>
      <c r="AD171" s="151"/>
      <c r="AE171" s="168"/>
      <c r="AF171" s="168"/>
      <c r="AG171" s="168"/>
      <c r="AH171" s="151"/>
      <c r="AI171" s="168"/>
      <c r="AJ171" s="168"/>
      <c r="AK171" s="168"/>
      <c r="AL171" s="168"/>
      <c r="AM171" s="168"/>
      <c r="AN171" s="168"/>
      <c r="AO171" s="168"/>
      <c r="AP171" s="168"/>
      <c r="AQ171" s="168"/>
      <c r="AR171" s="168"/>
      <c r="AS171" s="168"/>
      <c r="AT171" s="168"/>
      <c r="AU171" s="168"/>
      <c r="AV171" s="168"/>
      <c r="AW171" s="168"/>
      <c r="AX171" s="168"/>
      <c r="AY171" s="168"/>
      <c r="AZ171" s="168"/>
      <c r="BA171" s="168"/>
      <c r="BB171" s="168"/>
      <c r="BC171" s="168"/>
      <c r="BD171" s="168"/>
      <c r="BE171" s="168"/>
      <c r="BF171" s="168"/>
      <c r="BG171" s="168"/>
      <c r="BH171" s="168"/>
      <c r="BI171" s="168"/>
      <c r="BJ171" s="168"/>
      <c r="BK171" s="168"/>
      <c r="BL171" s="168"/>
      <c r="BM171" s="168"/>
      <c r="BN171" s="168"/>
      <c r="BO171" s="168"/>
      <c r="BP171" s="168"/>
      <c r="BQ171" s="168"/>
      <c r="BR171" s="168"/>
    </row>
    <row r="172" spans="1:70" s="152" customFormat="1" x14ac:dyDescent="0.35">
      <c r="A172" s="268" t="s">
        <v>20</v>
      </c>
      <c r="B172" s="269"/>
      <c r="C172" s="254"/>
      <c r="D172" s="254"/>
      <c r="E172" s="254"/>
      <c r="F172" s="254"/>
      <c r="G172" s="269"/>
      <c r="H172" s="254"/>
      <c r="I172" s="254"/>
      <c r="J172" s="254"/>
      <c r="K172" s="254"/>
      <c r="L172" s="254"/>
      <c r="M172" s="254"/>
      <c r="N172" s="254"/>
      <c r="O172" s="254"/>
      <c r="P172" s="159"/>
      <c r="Q172" s="168"/>
      <c r="R172" s="147"/>
      <c r="S172" s="168"/>
      <c r="T172" s="168"/>
      <c r="U172" s="168"/>
      <c r="V172" s="168"/>
      <c r="W172" s="168"/>
      <c r="X172" s="168"/>
      <c r="Y172" s="168"/>
      <c r="Z172" s="168"/>
      <c r="AA172" s="168"/>
      <c r="AB172" s="168"/>
      <c r="AC172" s="168"/>
      <c r="AD172" s="151"/>
      <c r="AE172" s="168"/>
      <c r="AF172" s="168"/>
      <c r="AG172" s="168"/>
      <c r="AH172" s="151"/>
      <c r="AI172" s="168"/>
      <c r="AJ172" s="168"/>
      <c r="AK172" s="168"/>
      <c r="AL172" s="168"/>
      <c r="AM172" s="168"/>
      <c r="AN172" s="168"/>
      <c r="AO172" s="168"/>
      <c r="AP172" s="168"/>
      <c r="AQ172" s="168"/>
      <c r="AR172" s="168"/>
      <c r="AS172" s="168"/>
      <c r="AT172" s="168"/>
      <c r="AU172" s="168"/>
      <c r="AV172" s="168"/>
      <c r="AW172" s="168"/>
      <c r="AX172" s="168"/>
      <c r="AY172" s="168"/>
      <c r="AZ172" s="168"/>
      <c r="BA172" s="168"/>
      <c r="BB172" s="168"/>
      <c r="BC172" s="168"/>
      <c r="BD172" s="168"/>
      <c r="BE172" s="168"/>
      <c r="BF172" s="168"/>
      <c r="BG172" s="168"/>
      <c r="BH172" s="168"/>
      <c r="BI172" s="168"/>
      <c r="BJ172" s="168"/>
      <c r="BK172" s="168"/>
      <c r="BL172" s="168"/>
      <c r="BM172" s="168"/>
      <c r="BN172" s="168"/>
      <c r="BO172" s="168"/>
      <c r="BP172" s="168"/>
      <c r="BQ172" s="168"/>
      <c r="BR172" s="168"/>
    </row>
    <row r="173" spans="1:70" s="158" customFormat="1" x14ac:dyDescent="0.35">
      <c r="A173" s="268" t="s">
        <v>21</v>
      </c>
      <c r="B173" s="269"/>
      <c r="C173" s="254"/>
      <c r="D173" s="254"/>
      <c r="E173" s="254"/>
      <c r="F173" s="254"/>
      <c r="G173" s="269"/>
      <c r="H173" s="254"/>
      <c r="I173" s="254"/>
      <c r="J173" s="254"/>
      <c r="K173" s="254"/>
      <c r="L173" s="254"/>
      <c r="M173" s="254"/>
      <c r="N173" s="254"/>
      <c r="O173" s="254"/>
      <c r="P173" s="167"/>
      <c r="Q173" s="168"/>
      <c r="R173" s="147"/>
      <c r="S173" s="168"/>
      <c r="T173" s="168"/>
      <c r="U173" s="168"/>
      <c r="V173" s="168"/>
      <c r="W173" s="168"/>
      <c r="X173" s="168"/>
      <c r="Y173" s="168"/>
      <c r="Z173" s="168"/>
      <c r="AA173" s="168"/>
      <c r="AB173" s="168"/>
      <c r="AC173" s="168"/>
      <c r="AD173" s="151"/>
      <c r="AE173" s="168"/>
      <c r="AF173" s="168"/>
      <c r="AG173" s="168"/>
      <c r="AH173" s="151"/>
      <c r="AI173" s="168"/>
      <c r="AJ173" s="168"/>
      <c r="AK173" s="168"/>
      <c r="AL173" s="168"/>
      <c r="AM173" s="168"/>
      <c r="AN173" s="168"/>
      <c r="AO173" s="168"/>
      <c r="AP173" s="168"/>
      <c r="AQ173" s="168"/>
      <c r="AR173" s="168"/>
      <c r="AS173" s="168"/>
      <c r="AT173" s="168"/>
      <c r="AU173" s="168"/>
      <c r="AV173" s="168"/>
      <c r="AW173" s="168"/>
      <c r="AX173" s="168"/>
      <c r="AY173" s="168"/>
      <c r="AZ173" s="168"/>
      <c r="BA173" s="168"/>
      <c r="BB173" s="168"/>
      <c r="BC173" s="168"/>
      <c r="BD173" s="168"/>
      <c r="BE173" s="168"/>
      <c r="BF173" s="168"/>
      <c r="BG173" s="168"/>
      <c r="BH173" s="168"/>
      <c r="BI173" s="168"/>
      <c r="BJ173" s="168"/>
      <c r="BK173" s="168"/>
      <c r="BL173" s="168"/>
      <c r="BM173" s="168"/>
      <c r="BN173" s="168"/>
      <c r="BO173" s="168"/>
      <c r="BP173" s="168"/>
      <c r="BQ173" s="168"/>
      <c r="BR173" s="168"/>
    </row>
    <row r="174" spans="1:70" s="152" customFormat="1" ht="15" thickBot="1" x14ac:dyDescent="0.4">
      <c r="A174" s="268" t="s">
        <v>26</v>
      </c>
      <c r="B174" s="270"/>
      <c r="C174" s="260"/>
      <c r="D174" s="260"/>
      <c r="E174" s="260"/>
      <c r="F174" s="260"/>
      <c r="G174" s="270"/>
      <c r="H174" s="260"/>
      <c r="I174" s="260"/>
      <c r="J174" s="260"/>
      <c r="K174" s="260"/>
      <c r="L174" s="260"/>
      <c r="M174" s="260"/>
      <c r="N174" s="260"/>
      <c r="O174" s="260"/>
      <c r="P174" s="159"/>
      <c r="Q174" s="168"/>
      <c r="R174" s="147"/>
      <c r="S174" s="168"/>
      <c r="T174" s="168"/>
      <c r="U174" s="168"/>
      <c r="V174" s="168"/>
      <c r="W174" s="168"/>
      <c r="X174" s="168"/>
      <c r="Y174" s="168"/>
      <c r="Z174" s="168"/>
      <c r="AA174" s="168"/>
      <c r="AB174" s="168"/>
      <c r="AC174" s="168"/>
      <c r="AD174" s="151"/>
      <c r="AE174" s="168"/>
      <c r="AF174" s="168"/>
      <c r="AG174" s="168"/>
      <c r="AH174" s="151"/>
      <c r="AI174" s="168"/>
      <c r="AJ174" s="168"/>
      <c r="AK174" s="168"/>
      <c r="AL174" s="168"/>
      <c r="AM174" s="168"/>
      <c r="AN174" s="168"/>
      <c r="AO174" s="168"/>
      <c r="AP174" s="168"/>
      <c r="AQ174" s="168"/>
      <c r="AR174" s="168"/>
      <c r="AS174" s="168"/>
      <c r="AT174" s="168"/>
      <c r="AU174" s="168"/>
      <c r="AV174" s="168"/>
      <c r="AW174" s="168"/>
      <c r="AX174" s="168"/>
      <c r="AY174" s="168"/>
      <c r="AZ174" s="168"/>
      <c r="BA174" s="168"/>
      <c r="BB174" s="168"/>
      <c r="BC174" s="168"/>
      <c r="BD174" s="168"/>
      <c r="BE174" s="168"/>
      <c r="BF174" s="168"/>
      <c r="BG174" s="168"/>
      <c r="BH174" s="168"/>
      <c r="BI174" s="168"/>
      <c r="BJ174" s="168"/>
      <c r="BK174" s="168"/>
      <c r="BL174" s="168"/>
      <c r="BM174" s="168"/>
      <c r="BN174" s="168"/>
      <c r="BO174" s="168"/>
      <c r="BP174" s="168"/>
      <c r="BQ174" s="168"/>
      <c r="BR174" s="168"/>
    </row>
    <row r="175" spans="1:70" s="156" customFormat="1" x14ac:dyDescent="0.35">
      <c r="A175" s="267" t="s">
        <v>22</v>
      </c>
      <c r="B175" s="269"/>
      <c r="C175" s="254"/>
      <c r="D175" s="254"/>
      <c r="E175" s="254"/>
      <c r="F175" s="254"/>
      <c r="G175" s="269"/>
      <c r="H175" s="254"/>
      <c r="I175" s="254"/>
      <c r="J175" s="254"/>
      <c r="K175" s="254"/>
      <c r="L175" s="254"/>
      <c r="M175" s="254"/>
      <c r="N175" s="254"/>
      <c r="O175" s="254"/>
      <c r="P175" s="161"/>
      <c r="Q175" s="168"/>
      <c r="R175" s="147"/>
      <c r="S175" s="168"/>
      <c r="T175" s="168"/>
      <c r="U175" s="168"/>
      <c r="V175" s="168"/>
      <c r="W175" s="168"/>
      <c r="X175" s="168"/>
      <c r="Y175" s="168"/>
      <c r="Z175" s="168"/>
      <c r="AA175" s="168"/>
      <c r="AB175" s="168"/>
      <c r="AC175" s="168"/>
      <c r="AD175" s="151"/>
      <c r="AE175" s="168"/>
      <c r="AF175" s="168"/>
      <c r="AG175" s="168"/>
      <c r="AH175" s="151"/>
      <c r="AI175" s="168"/>
      <c r="AJ175" s="168"/>
      <c r="AK175" s="168"/>
      <c r="AL175" s="168"/>
      <c r="AM175" s="168"/>
      <c r="AN175" s="168"/>
      <c r="AO175" s="168"/>
      <c r="AP175" s="168"/>
      <c r="AQ175" s="168"/>
      <c r="AR175" s="168"/>
      <c r="AS175" s="168"/>
      <c r="AT175" s="168"/>
      <c r="AU175" s="168"/>
      <c r="AV175" s="168"/>
      <c r="AW175" s="168"/>
      <c r="AX175" s="168"/>
      <c r="AY175" s="168"/>
      <c r="AZ175" s="168"/>
      <c r="BA175" s="168"/>
      <c r="BB175" s="168"/>
      <c r="BC175" s="168"/>
      <c r="BD175" s="168"/>
      <c r="BE175" s="168"/>
      <c r="BF175" s="168"/>
      <c r="BG175" s="168"/>
      <c r="BH175" s="168"/>
      <c r="BI175" s="168"/>
      <c r="BJ175" s="168"/>
      <c r="BK175" s="168"/>
      <c r="BL175" s="168"/>
      <c r="BM175" s="168"/>
      <c r="BN175" s="168"/>
      <c r="BO175" s="168"/>
      <c r="BP175" s="168"/>
      <c r="BQ175" s="168"/>
      <c r="BR175" s="168"/>
    </row>
    <row r="176" spans="1:70" s="155" customFormat="1" ht="15" thickBot="1" x14ac:dyDescent="0.4">
      <c r="A176" s="253"/>
      <c r="B176" s="262"/>
      <c r="C176" s="253"/>
      <c r="D176" s="253"/>
      <c r="E176" s="253"/>
      <c r="F176" s="253"/>
      <c r="G176" s="262"/>
      <c r="H176" s="253"/>
      <c r="I176" s="253"/>
      <c r="J176" s="253"/>
      <c r="K176" s="253"/>
      <c r="L176" s="253"/>
      <c r="M176" s="253"/>
      <c r="N176" s="253"/>
      <c r="O176" s="253"/>
      <c r="P176" s="162"/>
      <c r="Q176" s="168"/>
      <c r="R176" s="147"/>
      <c r="S176" s="168"/>
      <c r="T176" s="168"/>
      <c r="U176" s="168"/>
      <c r="V176" s="168"/>
      <c r="W176" s="168"/>
      <c r="X176" s="168"/>
      <c r="Y176" s="168"/>
      <c r="Z176" s="168"/>
      <c r="AA176" s="168"/>
      <c r="AB176" s="168"/>
      <c r="AC176" s="168"/>
      <c r="AD176" s="151"/>
      <c r="AE176" s="168"/>
      <c r="AF176" s="168"/>
      <c r="AG176" s="168"/>
      <c r="AH176" s="151"/>
      <c r="AI176" s="168"/>
      <c r="AJ176" s="168"/>
      <c r="AK176" s="168"/>
      <c r="AL176" s="168"/>
      <c r="AM176" s="168"/>
      <c r="AN176" s="168"/>
      <c r="AO176" s="168"/>
      <c r="AP176" s="168"/>
      <c r="AQ176" s="168"/>
      <c r="AR176" s="168"/>
      <c r="AS176" s="168"/>
      <c r="AT176" s="168"/>
      <c r="AU176" s="168"/>
      <c r="AV176" s="168"/>
      <c r="AW176" s="168"/>
      <c r="AX176" s="168"/>
      <c r="AY176" s="168"/>
      <c r="AZ176" s="168"/>
      <c r="BA176" s="168"/>
      <c r="BB176" s="168"/>
      <c r="BC176" s="168"/>
      <c r="BD176" s="168"/>
      <c r="BE176" s="168"/>
      <c r="BF176" s="168"/>
      <c r="BG176" s="168"/>
      <c r="BH176" s="168"/>
      <c r="BI176" s="168"/>
      <c r="BJ176" s="168"/>
      <c r="BK176" s="168"/>
      <c r="BL176" s="168"/>
      <c r="BM176" s="168"/>
      <c r="BN176" s="168"/>
      <c r="BO176" s="168"/>
      <c r="BP176" s="168"/>
      <c r="BQ176" s="168"/>
      <c r="BR176" s="168"/>
    </row>
    <row r="177" spans="1:70" s="155" customFormat="1" x14ac:dyDescent="0.35">
      <c r="A177" s="271" t="s">
        <v>56</v>
      </c>
      <c r="B177" s="269"/>
      <c r="C177" s="254"/>
      <c r="D177" s="254"/>
      <c r="E177" s="254"/>
      <c r="F177" s="254"/>
      <c r="G177" s="269"/>
      <c r="H177" s="254"/>
      <c r="I177" s="254"/>
      <c r="J177" s="254"/>
      <c r="K177" s="254"/>
      <c r="L177" s="254"/>
      <c r="M177" s="254"/>
      <c r="N177" s="254"/>
      <c r="O177" s="254"/>
      <c r="P177" s="163"/>
      <c r="Q177" s="168"/>
      <c r="R177" s="147"/>
      <c r="S177" s="168"/>
      <c r="T177" s="168"/>
      <c r="U177" s="168"/>
      <c r="V177" s="168"/>
      <c r="W177" s="168"/>
      <c r="X177" s="168"/>
      <c r="Y177" s="168"/>
      <c r="Z177" s="168"/>
      <c r="AA177" s="168"/>
      <c r="AB177" s="168"/>
      <c r="AC177" s="168"/>
      <c r="AD177" s="151"/>
      <c r="AE177" s="168"/>
      <c r="AF177" s="168"/>
      <c r="AG177" s="168"/>
      <c r="AH177" s="151"/>
      <c r="AI177" s="168"/>
      <c r="AJ177" s="168"/>
      <c r="AK177" s="168"/>
      <c r="AL177" s="168"/>
      <c r="AM177" s="168"/>
      <c r="AN177" s="168"/>
      <c r="AO177" s="168"/>
      <c r="AP177" s="168"/>
      <c r="AQ177" s="168"/>
      <c r="AR177" s="168"/>
      <c r="AS177" s="168"/>
      <c r="AT177" s="168"/>
      <c r="AU177" s="168"/>
      <c r="AV177" s="168"/>
      <c r="AW177" s="168"/>
      <c r="AX177" s="168"/>
      <c r="AY177" s="168"/>
      <c r="AZ177" s="168"/>
      <c r="BA177" s="168"/>
      <c r="BB177" s="168"/>
      <c r="BC177" s="168"/>
      <c r="BD177" s="168"/>
      <c r="BE177" s="168"/>
      <c r="BF177" s="168"/>
      <c r="BG177" s="168"/>
      <c r="BH177" s="168"/>
      <c r="BI177" s="168"/>
      <c r="BJ177" s="168"/>
      <c r="BK177" s="168"/>
      <c r="BL177" s="168"/>
      <c r="BM177" s="168"/>
      <c r="BN177" s="168"/>
      <c r="BO177" s="168"/>
      <c r="BP177" s="168"/>
      <c r="BQ177" s="168"/>
      <c r="BR177" s="168"/>
    </row>
    <row r="178" spans="1:70" s="155" customFormat="1" x14ac:dyDescent="0.35">
      <c r="A178" s="272" t="s">
        <v>112</v>
      </c>
      <c r="B178" s="255"/>
      <c r="C178" s="257"/>
      <c r="D178" s="257"/>
      <c r="E178" s="257"/>
      <c r="F178" s="257"/>
      <c r="G178" s="255"/>
      <c r="H178" s="257"/>
      <c r="I178" s="257"/>
      <c r="J178" s="257"/>
      <c r="K178" s="257"/>
      <c r="L178" s="257"/>
      <c r="M178" s="257"/>
      <c r="N178" s="257"/>
      <c r="O178" s="257"/>
      <c r="P178" s="162"/>
      <c r="Q178" s="168"/>
      <c r="R178" s="147"/>
      <c r="S178" s="168"/>
      <c r="T178" s="168"/>
      <c r="U178" s="168"/>
      <c r="V178" s="168"/>
      <c r="W178" s="168"/>
      <c r="X178" s="168"/>
      <c r="Y178" s="168"/>
      <c r="Z178" s="168"/>
      <c r="AA178" s="168"/>
      <c r="AB178" s="168"/>
      <c r="AC178" s="168"/>
      <c r="AD178" s="151"/>
      <c r="AE178" s="168"/>
      <c r="AF178" s="168"/>
      <c r="AG178" s="168"/>
      <c r="AH178" s="151"/>
      <c r="AI178" s="168"/>
      <c r="AJ178" s="168"/>
      <c r="AK178" s="168"/>
      <c r="AL178" s="168"/>
      <c r="AM178" s="168"/>
      <c r="AN178" s="168"/>
      <c r="AO178" s="168"/>
      <c r="AP178" s="168"/>
      <c r="AQ178" s="168"/>
      <c r="AR178" s="168"/>
      <c r="AS178" s="168"/>
      <c r="AT178" s="168"/>
      <c r="AU178" s="168"/>
      <c r="AV178" s="168"/>
      <c r="AW178" s="168"/>
      <c r="AX178" s="168"/>
      <c r="AY178" s="168"/>
      <c r="AZ178" s="168"/>
      <c r="BA178" s="168"/>
      <c r="BB178" s="168"/>
      <c r="BC178" s="168"/>
      <c r="BD178" s="168"/>
      <c r="BE178" s="168"/>
      <c r="BF178" s="168"/>
      <c r="BG178" s="168"/>
      <c r="BH178" s="168"/>
      <c r="BI178" s="168"/>
      <c r="BJ178" s="168"/>
      <c r="BK178" s="168"/>
      <c r="BL178" s="168"/>
      <c r="BM178" s="168"/>
      <c r="BN178" s="168"/>
      <c r="BO178" s="168"/>
      <c r="BP178" s="168"/>
      <c r="BQ178" s="168"/>
      <c r="BR178" s="168"/>
    </row>
    <row r="179" spans="1:70" s="157" customFormat="1" ht="15" thickBot="1" x14ac:dyDescent="0.4">
      <c r="A179" s="272" t="s">
        <v>64</v>
      </c>
      <c r="B179" s="256"/>
      <c r="C179" s="261"/>
      <c r="D179" s="261"/>
      <c r="E179" s="261"/>
      <c r="F179" s="261"/>
      <c r="G179" s="256"/>
      <c r="H179" s="261"/>
      <c r="I179" s="261"/>
      <c r="J179" s="261"/>
      <c r="K179" s="261"/>
      <c r="L179" s="261"/>
      <c r="M179" s="261"/>
      <c r="N179" s="261"/>
      <c r="O179" s="261"/>
      <c r="P179" s="164"/>
      <c r="Q179" s="168"/>
      <c r="R179" s="147"/>
      <c r="S179" s="168"/>
      <c r="T179" s="168"/>
      <c r="U179" s="168"/>
      <c r="V179" s="168"/>
      <c r="W179" s="168"/>
      <c r="X179" s="168"/>
      <c r="Y179" s="168"/>
      <c r="Z179" s="168"/>
      <c r="AA179" s="168"/>
      <c r="AB179" s="168"/>
      <c r="AC179" s="168"/>
      <c r="AD179" s="151"/>
      <c r="AE179" s="168"/>
      <c r="AF179" s="168"/>
      <c r="AG179" s="168"/>
      <c r="AH179" s="151"/>
      <c r="AI179" s="168"/>
      <c r="AJ179" s="168"/>
      <c r="AK179" s="168"/>
      <c r="AL179" s="168"/>
      <c r="AM179" s="168"/>
      <c r="AN179" s="168"/>
      <c r="AO179" s="168"/>
      <c r="AP179" s="168"/>
      <c r="AQ179" s="168"/>
      <c r="AR179" s="168"/>
      <c r="AS179" s="168"/>
      <c r="AT179" s="168"/>
      <c r="AU179" s="168"/>
      <c r="AV179" s="168"/>
      <c r="AW179" s="168"/>
      <c r="AX179" s="168"/>
      <c r="AY179" s="168"/>
      <c r="AZ179" s="168"/>
      <c r="BA179" s="168"/>
      <c r="BB179" s="168"/>
      <c r="BC179" s="168"/>
      <c r="BD179" s="168"/>
      <c r="BE179" s="168"/>
      <c r="BF179" s="168"/>
      <c r="BG179" s="168"/>
      <c r="BH179" s="168"/>
      <c r="BI179" s="168"/>
      <c r="BJ179" s="168"/>
      <c r="BK179" s="168"/>
      <c r="BL179" s="168"/>
      <c r="BM179" s="168"/>
      <c r="BN179" s="168"/>
      <c r="BO179" s="168"/>
      <c r="BP179" s="168"/>
      <c r="BQ179" s="168"/>
      <c r="BR179" s="168"/>
    </row>
    <row r="180" spans="1:70" x14ac:dyDescent="0.35">
      <c r="A180" s="272"/>
      <c r="B180" s="255"/>
      <c r="C180" s="257"/>
      <c r="D180" s="257"/>
      <c r="E180" s="257"/>
      <c r="F180" s="257"/>
      <c r="G180" s="255"/>
      <c r="H180" s="257"/>
      <c r="I180" s="257"/>
      <c r="J180" s="257"/>
      <c r="K180" s="257"/>
      <c r="L180" s="257"/>
      <c r="M180" s="257"/>
      <c r="N180" s="257"/>
      <c r="O180" s="257"/>
      <c r="P180" s="151"/>
    </row>
    <row r="181" spans="1:70" ht="15" thickBot="1" x14ac:dyDescent="0.4">
      <c r="A181" s="273"/>
      <c r="B181" s="274"/>
      <c r="C181" s="258"/>
      <c r="D181" s="258"/>
      <c r="E181" s="258"/>
      <c r="F181" s="258"/>
      <c r="G181" s="274"/>
      <c r="H181" s="258"/>
      <c r="I181" s="258"/>
      <c r="J181" s="258"/>
      <c r="K181" s="258"/>
      <c r="L181" s="258"/>
      <c r="M181" s="258"/>
      <c r="N181" s="258"/>
      <c r="O181" s="258"/>
      <c r="P181" s="151"/>
    </row>
  </sheetData>
  <mergeCells count="6">
    <mergeCell ref="AA15:AC15"/>
    <mergeCell ref="AE15:AG15"/>
    <mergeCell ref="AI15:AL15"/>
    <mergeCell ref="R26:AC27"/>
    <mergeCell ref="AE26:AG27"/>
    <mergeCell ref="AI26:AK27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U182"/>
  <sheetViews>
    <sheetView workbookViewId="0">
      <selection activeCell="C3" sqref="C3"/>
    </sheetView>
  </sheetViews>
  <sheetFormatPr defaultRowHeight="14.5" x14ac:dyDescent="0.35"/>
  <cols>
    <col min="1" max="1" width="21" customWidth="1"/>
    <col min="2" max="14" width="13.81640625" bestFit="1" customWidth="1"/>
    <col min="15" max="15" width="16.453125" bestFit="1" customWidth="1"/>
    <col min="17" max="17" width="9.1796875" style="168"/>
    <col min="18" max="18" width="18.453125" style="147" customWidth="1"/>
    <col min="19" max="23" width="0" style="168" hidden="1" customWidth="1"/>
    <col min="24" max="26" width="9.1796875" style="168" hidden="1" customWidth="1"/>
    <col min="27" max="27" width="31.26953125" style="168" customWidth="1"/>
    <col min="28" max="28" width="27.26953125" style="168" customWidth="1"/>
    <col min="29" max="29" width="18.54296875" style="168" customWidth="1"/>
    <col min="30" max="30" width="5.7265625" style="151" customWidth="1"/>
    <col min="31" max="32" width="22.26953125" style="168" customWidth="1"/>
    <col min="33" max="33" width="24.54296875" style="168" customWidth="1"/>
    <col min="34" max="34" width="5" style="151" customWidth="1"/>
    <col min="35" max="35" width="29.26953125" style="168" customWidth="1"/>
    <col min="36" max="36" width="33" style="168" customWidth="1"/>
    <col min="37" max="37" width="23.7265625" style="168" customWidth="1"/>
    <col min="38" max="38" width="17.26953125" style="168" customWidth="1"/>
    <col min="39" max="57" width="9.1796875" style="168"/>
  </cols>
  <sheetData>
    <row r="1" spans="1:70" ht="16" thickBot="1" x14ac:dyDescent="0.4">
      <c r="A1" s="75" t="s">
        <v>121</v>
      </c>
    </row>
    <row r="2" spans="1:70" x14ac:dyDescent="0.35">
      <c r="AA2" s="285" t="s">
        <v>126</v>
      </c>
      <c r="AB2" s="286" t="s">
        <v>125</v>
      </c>
    </row>
    <row r="3" spans="1:70" x14ac:dyDescent="0.35">
      <c r="AA3" s="287">
        <v>234</v>
      </c>
      <c r="AB3" s="288">
        <v>200</v>
      </c>
    </row>
    <row r="4" spans="1:70" x14ac:dyDescent="0.35">
      <c r="AA4" s="281"/>
      <c r="AB4" s="282"/>
    </row>
    <row r="5" spans="1:70" s="152" customFormat="1" x14ac:dyDescent="0.35">
      <c r="A5" s="180" t="s">
        <v>0</v>
      </c>
      <c r="B5" s="209" t="s">
        <v>7</v>
      </c>
      <c r="C5" s="182" t="s">
        <v>8</v>
      </c>
      <c r="D5" s="182" t="s">
        <v>9</v>
      </c>
      <c r="E5" s="182" t="s">
        <v>10</v>
      </c>
      <c r="F5" s="182" t="s">
        <v>11</v>
      </c>
      <c r="G5" s="209" t="s">
        <v>12</v>
      </c>
      <c r="H5" s="182" t="s">
        <v>13</v>
      </c>
      <c r="I5" s="182" t="s">
        <v>14</v>
      </c>
      <c r="J5" s="182" t="s">
        <v>15</v>
      </c>
      <c r="K5" s="182" t="s">
        <v>16</v>
      </c>
      <c r="L5" s="183" t="s">
        <v>17</v>
      </c>
      <c r="M5" s="184" t="s">
        <v>23</v>
      </c>
      <c r="N5" s="184" t="s">
        <v>24</v>
      </c>
      <c r="O5" s="185" t="s">
        <v>18</v>
      </c>
      <c r="P5" s="159"/>
      <c r="Q5" s="168"/>
      <c r="R5" s="147"/>
      <c r="S5" s="168"/>
      <c r="T5" s="168"/>
      <c r="U5" s="168"/>
      <c r="V5" s="168"/>
      <c r="W5" s="168"/>
      <c r="X5" s="168"/>
      <c r="Y5" s="168"/>
      <c r="Z5" s="168"/>
      <c r="AA5" s="281"/>
      <c r="AB5" s="282"/>
      <c r="AC5" s="168"/>
      <c r="AD5" s="151"/>
      <c r="AE5" s="168"/>
      <c r="AF5" s="168"/>
      <c r="AG5" s="168"/>
      <c r="AH5" s="151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</row>
    <row r="6" spans="1:70" s="165" customFormat="1" x14ac:dyDescent="0.35">
      <c r="A6" s="154" t="s">
        <v>25</v>
      </c>
      <c r="B6" s="210">
        <v>726</v>
      </c>
      <c r="C6" s="186">
        <v>726</v>
      </c>
      <c r="D6" s="186">
        <v>726</v>
      </c>
      <c r="E6" s="186">
        <v>726</v>
      </c>
      <c r="F6" s="186">
        <v>726</v>
      </c>
      <c r="G6" s="210">
        <v>726</v>
      </c>
      <c r="H6" s="186">
        <v>726</v>
      </c>
      <c r="I6" s="186">
        <v>726</v>
      </c>
      <c r="J6" s="186">
        <v>726</v>
      </c>
      <c r="K6" s="186">
        <v>726</v>
      </c>
      <c r="L6" s="186">
        <v>726</v>
      </c>
      <c r="M6" s="186">
        <v>726</v>
      </c>
      <c r="N6" s="186">
        <v>726</v>
      </c>
      <c r="O6" s="186">
        <f>SUM(B6:N6)</f>
        <v>9438</v>
      </c>
      <c r="P6" s="160"/>
      <c r="Q6" s="169"/>
      <c r="R6" s="170"/>
      <c r="S6" s="169"/>
      <c r="T6" s="169"/>
      <c r="U6" s="169"/>
      <c r="V6" s="169"/>
      <c r="W6" s="169"/>
      <c r="X6" s="169"/>
      <c r="Y6" s="169"/>
      <c r="Z6" s="169"/>
      <c r="AA6" s="283"/>
      <c r="AB6" s="284"/>
      <c r="AC6" s="169"/>
      <c r="AD6" s="150"/>
      <c r="AE6" s="169"/>
      <c r="AF6" s="169"/>
      <c r="AG6" s="169"/>
      <c r="AH6" s="150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169"/>
    </row>
    <row r="7" spans="1:70" s="152" customFormat="1" x14ac:dyDescent="0.35">
      <c r="A7" s="187" t="s">
        <v>20</v>
      </c>
      <c r="B7" s="210">
        <f>'housing proportion projections'!I6</f>
        <v>154.22553087625062</v>
      </c>
      <c r="C7" s="210">
        <f>'housing proportion projections'!J6</f>
        <v>154.22553087625062</v>
      </c>
      <c r="D7" s="210">
        <f>'housing proportion projections'!K6</f>
        <v>154.22553087625062</v>
      </c>
      <c r="E7" s="210">
        <f>'housing proportion projections'!L6</f>
        <v>154.22553087625062</v>
      </c>
      <c r="F7" s="210">
        <f>'housing proportion projections'!M6</f>
        <v>154.22553087625062</v>
      </c>
      <c r="G7" s="210">
        <f>'housing proportion projections'!N6</f>
        <v>154.22553087625062</v>
      </c>
      <c r="H7" s="210">
        <f>'housing proportion projections'!O6</f>
        <v>154.22553087625062</v>
      </c>
      <c r="I7" s="210">
        <f>'housing proportion projections'!P6</f>
        <v>154.22553087625062</v>
      </c>
      <c r="J7" s="210">
        <f>'housing proportion projections'!Q6</f>
        <v>154.22553087625062</v>
      </c>
      <c r="K7" s="210">
        <f>'housing proportion projections'!R6</f>
        <v>154.22553087625062</v>
      </c>
      <c r="L7" s="210">
        <f>'housing proportion projections'!S6</f>
        <v>154.22553087625062</v>
      </c>
      <c r="M7" s="210">
        <f>'housing proportion projections'!T6</f>
        <v>154.22553087625062</v>
      </c>
      <c r="N7" s="210">
        <f>'housing proportion projections'!U6</f>
        <v>154.22553087625062</v>
      </c>
      <c r="O7" s="186">
        <f t="shared" ref="O7:O10" si="0">SUM(B7:N7)</f>
        <v>2004.9319013912575</v>
      </c>
      <c r="P7" s="159"/>
      <c r="Q7" s="168"/>
      <c r="R7" s="147"/>
      <c r="S7" s="168"/>
      <c r="T7" s="168"/>
      <c r="U7" s="168"/>
      <c r="V7" s="168"/>
      <c r="W7" s="168"/>
      <c r="X7" s="168"/>
      <c r="Y7" s="168"/>
      <c r="Z7" s="168"/>
      <c r="AA7" s="281"/>
      <c r="AB7" s="282"/>
      <c r="AC7" s="168"/>
      <c r="AD7" s="151"/>
      <c r="AE7" s="168"/>
      <c r="AF7" s="168"/>
      <c r="AG7" s="168"/>
      <c r="AH7" s="151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</row>
    <row r="8" spans="1:70" s="152" customFormat="1" ht="15" thickBot="1" x14ac:dyDescent="0.4">
      <c r="A8" s="187" t="s">
        <v>21</v>
      </c>
      <c r="B8" s="210">
        <f>'housing proportion projections'!I7</f>
        <v>196.69514278740564</v>
      </c>
      <c r="C8" s="210">
        <f>'housing proportion projections'!J7</f>
        <v>196.69514278740564</v>
      </c>
      <c r="D8" s="210">
        <f>'housing proportion projections'!K7</f>
        <v>196.69514278740564</v>
      </c>
      <c r="E8" s="210">
        <f>'housing proportion projections'!L7</f>
        <v>196.69514278740564</v>
      </c>
      <c r="F8" s="210">
        <f>'housing proportion projections'!M7</f>
        <v>196.69514278740564</v>
      </c>
      <c r="G8" s="210">
        <f>'housing proportion projections'!N7</f>
        <v>196.69514278740564</v>
      </c>
      <c r="H8" s="210">
        <f>'housing proportion projections'!O7</f>
        <v>196.69514278740564</v>
      </c>
      <c r="I8" s="210">
        <f>'housing proportion projections'!P7</f>
        <v>196.69514278740564</v>
      </c>
      <c r="J8" s="210">
        <f>'housing proportion projections'!Q7</f>
        <v>196.69514278740564</v>
      </c>
      <c r="K8" s="210">
        <f>'housing proportion projections'!R7</f>
        <v>196.69514278740564</v>
      </c>
      <c r="L8" s="210">
        <f>'housing proportion projections'!S7</f>
        <v>196.69514278740564</v>
      </c>
      <c r="M8" s="210">
        <f>'housing proportion projections'!T7</f>
        <v>196.69514278740564</v>
      </c>
      <c r="N8" s="210">
        <f>'housing proportion projections'!U7</f>
        <v>196.69514278740564</v>
      </c>
      <c r="O8" s="186">
        <f t="shared" si="0"/>
        <v>2557.0368562362728</v>
      </c>
      <c r="P8" s="159"/>
      <c r="Q8" s="168"/>
      <c r="R8" s="147"/>
      <c r="S8" s="168"/>
      <c r="T8" s="168"/>
      <c r="U8" s="168"/>
      <c r="V8" s="168"/>
      <c r="W8" s="168"/>
      <c r="X8" s="168"/>
      <c r="Y8" s="168"/>
      <c r="Z8" s="168"/>
      <c r="AA8" s="243"/>
      <c r="AB8" s="244"/>
      <c r="AC8" s="168"/>
      <c r="AD8" s="151"/>
      <c r="AE8" s="168"/>
      <c r="AF8" s="168"/>
      <c r="AG8" s="168"/>
      <c r="AH8" s="151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168"/>
      <c r="BR8" s="168"/>
    </row>
    <row r="9" spans="1:70" s="152" customFormat="1" x14ac:dyDescent="0.35">
      <c r="A9" s="187" t="s">
        <v>26</v>
      </c>
      <c r="B9" s="210">
        <f>'housing proportion projections'!I8</f>
        <v>270.64779106663434</v>
      </c>
      <c r="C9" s="210">
        <f>'housing proportion projections'!J8</f>
        <v>270.64779106663434</v>
      </c>
      <c r="D9" s="210">
        <f>'housing proportion projections'!K8</f>
        <v>270.64779106663434</v>
      </c>
      <c r="E9" s="210">
        <f>'housing proportion projections'!L8</f>
        <v>270.64779106663434</v>
      </c>
      <c r="F9" s="210">
        <f>'housing proportion projections'!M8</f>
        <v>270.64779106663434</v>
      </c>
      <c r="G9" s="210">
        <f>'housing proportion projections'!N8</f>
        <v>270.64779106663434</v>
      </c>
      <c r="H9" s="210">
        <f>'housing proportion projections'!O8</f>
        <v>270.64779106663434</v>
      </c>
      <c r="I9" s="210">
        <f>'housing proportion projections'!P8</f>
        <v>270.64779106663434</v>
      </c>
      <c r="J9" s="210">
        <f>'housing proportion projections'!Q8</f>
        <v>270.64779106663434</v>
      </c>
      <c r="K9" s="210">
        <f>'housing proportion projections'!R8</f>
        <v>270.64779106663434</v>
      </c>
      <c r="L9" s="210">
        <f>'housing proportion projections'!S8</f>
        <v>270.64779106663434</v>
      </c>
      <c r="M9" s="210">
        <f>'housing proportion projections'!T8</f>
        <v>270.64779106663434</v>
      </c>
      <c r="N9" s="210">
        <f>'housing proportion projections'!U8</f>
        <v>270.64779106663434</v>
      </c>
      <c r="O9" s="186">
        <f t="shared" si="0"/>
        <v>3518.4212838662474</v>
      </c>
      <c r="P9" s="159"/>
      <c r="Q9" s="168"/>
      <c r="R9" s="147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51"/>
      <c r="AE9" s="168"/>
      <c r="AF9" s="168"/>
      <c r="AG9" s="168"/>
      <c r="AH9" s="151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</row>
    <row r="10" spans="1:70" s="158" customFormat="1" x14ac:dyDescent="0.35">
      <c r="A10" s="190" t="s">
        <v>22</v>
      </c>
      <c r="B10" s="210">
        <f>'housing proportion projections'!I9</f>
        <v>104.49060288015619</v>
      </c>
      <c r="C10" s="210">
        <f>'housing proportion projections'!J9</f>
        <v>104.49060288015619</v>
      </c>
      <c r="D10" s="210">
        <f>'housing proportion projections'!K9</f>
        <v>104.49060288015619</v>
      </c>
      <c r="E10" s="210">
        <f>'housing proportion projections'!L9</f>
        <v>104.49060288015619</v>
      </c>
      <c r="F10" s="210">
        <f>'housing proportion projections'!M9</f>
        <v>104.49060288015619</v>
      </c>
      <c r="G10" s="210">
        <f>'housing proportion projections'!N9</f>
        <v>104.49060288015619</v>
      </c>
      <c r="H10" s="210">
        <f>'housing proportion projections'!O9</f>
        <v>104.49060288015619</v>
      </c>
      <c r="I10" s="210">
        <f>'housing proportion projections'!P9</f>
        <v>104.49060288015619</v>
      </c>
      <c r="J10" s="210">
        <f>'housing proportion projections'!Q9</f>
        <v>104.49060288015619</v>
      </c>
      <c r="K10" s="210">
        <f>'housing proportion projections'!R9</f>
        <v>104.49060288015619</v>
      </c>
      <c r="L10" s="210">
        <f>'housing proportion projections'!S9</f>
        <v>104.49060288015619</v>
      </c>
      <c r="M10" s="210">
        <f>'housing proportion projections'!T9</f>
        <v>104.49060288015619</v>
      </c>
      <c r="N10" s="210">
        <f>'housing proportion projections'!U9</f>
        <v>104.49060288015619</v>
      </c>
      <c r="O10" s="186">
        <f t="shared" si="0"/>
        <v>1358.3778374420303</v>
      </c>
      <c r="P10" s="167"/>
      <c r="Q10" s="168"/>
      <c r="R10" s="147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51"/>
      <c r="AE10" s="168"/>
      <c r="AF10" s="168"/>
      <c r="AG10" s="168"/>
      <c r="AH10" s="151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  <c r="BR10" s="168"/>
    </row>
    <row r="11" spans="1:70" s="152" customFormat="1" ht="15" thickBot="1" x14ac:dyDescent="0.4">
      <c r="A11" s="179"/>
      <c r="B11" s="212"/>
      <c r="C11" s="179"/>
      <c r="D11" s="179"/>
      <c r="E11" s="179"/>
      <c r="F11" s="179"/>
      <c r="G11" s="212"/>
      <c r="H11" s="179"/>
      <c r="I11" s="179"/>
      <c r="J11" s="179"/>
      <c r="K11" s="179"/>
      <c r="L11" s="179"/>
      <c r="M11" s="179"/>
      <c r="N11" s="179"/>
      <c r="O11" s="179"/>
      <c r="P11" s="159"/>
      <c r="Q11" s="168"/>
      <c r="R11" s="147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51"/>
      <c r="AE11" s="168"/>
      <c r="AF11" s="168"/>
      <c r="AG11" s="168"/>
      <c r="AH11" s="151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168"/>
    </row>
    <row r="12" spans="1:70" s="166" customFormat="1" x14ac:dyDescent="0.35">
      <c r="A12" s="191" t="s">
        <v>134</v>
      </c>
      <c r="B12" s="213"/>
      <c r="C12" s="192"/>
      <c r="D12" s="192"/>
      <c r="E12" s="192"/>
      <c r="F12" s="192"/>
      <c r="G12" s="213"/>
      <c r="H12" s="192"/>
      <c r="I12" s="192"/>
      <c r="J12" s="192"/>
      <c r="K12" s="192"/>
      <c r="L12" s="192"/>
      <c r="M12" s="192"/>
      <c r="N12" s="192"/>
      <c r="O12" s="192"/>
      <c r="Q12" s="168"/>
      <c r="R12" s="147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51"/>
      <c r="AE12" s="168"/>
      <c r="AF12" s="168"/>
      <c r="AG12" s="168"/>
      <c r="AH12" s="151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</row>
    <row r="13" spans="1:70" s="155" customFormat="1" x14ac:dyDescent="0.35">
      <c r="A13" s="193" t="s">
        <v>112</v>
      </c>
      <c r="B13" s="214">
        <f>30*((B7*$AF$17)+(B8*$AF$18)+(B9*$AF$19)+(B10*$AF$20))+'scenario 1'!B13</f>
        <v>15268313.95919014</v>
      </c>
      <c r="C13" s="214">
        <f>30*((C7*$AF$17)+(C8*$AF$18)+(C9*$AF$19)+(C10*$AF$20))+'scenario 1'!C13</f>
        <v>15268313.95919014</v>
      </c>
      <c r="D13" s="214">
        <f>30*((D7*$AF$17)+(D8*$AF$18)+(D9*$AF$19)+(D10*$AF$20))+'scenario 1'!D13</f>
        <v>15268313.95919014</v>
      </c>
      <c r="E13" s="214">
        <f>30*((E7*$AF$17)+(E8*$AF$18)+(E9*$AF$19)+(E10*$AF$20))+'scenario 1'!E13</f>
        <v>15268313.95919014</v>
      </c>
      <c r="F13" s="214">
        <f>30*((F7*$AF$17)+(F8*$AF$18)+(F9*$AF$19)+(F10*$AF$20))+'scenario 1'!F13</f>
        <v>15268313.95919014</v>
      </c>
      <c r="G13" s="214">
        <f>30*((G7*$AJ$17)+(G8*$AJ$18)+(G9*$AJ$19)+(G10*$AJ$20))+'scenario 1'!G13</f>
        <v>12568482.765690096</v>
      </c>
      <c r="H13" s="214">
        <f>30*((H7*$AJ$17)+(H8*$AJ$18)+(H9*$AJ$19)+(H10*$AJ$20))+'scenario 1'!H13</f>
        <v>12568482.765690096</v>
      </c>
      <c r="I13" s="214">
        <f>30*((I7*$AJ$17)+(I8*$AJ$18)+(I9*$AJ$19)+(I10*$AJ$20))+'scenario 1'!I13</f>
        <v>12568482.765690096</v>
      </c>
      <c r="J13" s="214">
        <f>30*((J7*$AJ$17)+(J8*$AJ$18)+(J9*$AJ$19)+(J10*$AJ$20))+'scenario 1'!J13</f>
        <v>12568482.765690096</v>
      </c>
      <c r="K13" s="214">
        <f>30*((K7*$AJ$17)+(K8*$AJ$18)+(K9*$AJ$19)+(K10*$AJ$20))+'scenario 1'!K13</f>
        <v>12568482.765690096</v>
      </c>
      <c r="L13" s="214">
        <f>30*((L7*$AJ$17)+(L8*$AJ$18)+(L9*$AJ$19)+(L10*$AJ$20))+'scenario 1'!L13</f>
        <v>12568482.765690096</v>
      </c>
      <c r="M13" s="214">
        <f>30*((M7*$AJ$17)+(M8*$AJ$18)+(M9*$AJ$19)+(M10*$AJ$20))+'scenario 1'!M13</f>
        <v>12568482.765690096</v>
      </c>
      <c r="N13" s="214">
        <f>30*((N7*$AJ$17)+(N8*$AJ$18)+(N9*$AJ$19)+(N10*$AJ$20))+'scenario 1'!N13</f>
        <v>12568482.765690096</v>
      </c>
      <c r="O13" s="214">
        <f>SUM(B13:N13)</f>
        <v>176889431.92147142</v>
      </c>
      <c r="P13" s="162"/>
      <c r="Q13" s="168"/>
      <c r="R13" s="147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51"/>
      <c r="AE13" s="168"/>
      <c r="AF13" s="168"/>
      <c r="AG13" s="168"/>
      <c r="AH13" s="151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</row>
    <row r="14" spans="1:70" s="155" customFormat="1" x14ac:dyDescent="0.35">
      <c r="A14" s="193" t="s">
        <v>113</v>
      </c>
      <c r="B14" s="214">
        <f t="shared" ref="B14:O14" si="1">B13/1000</f>
        <v>15268.31395919014</v>
      </c>
      <c r="C14" s="214">
        <f t="shared" si="1"/>
        <v>15268.31395919014</v>
      </c>
      <c r="D14" s="214">
        <f t="shared" si="1"/>
        <v>15268.31395919014</v>
      </c>
      <c r="E14" s="214">
        <f t="shared" si="1"/>
        <v>15268.31395919014</v>
      </c>
      <c r="F14" s="214">
        <f t="shared" si="1"/>
        <v>15268.31395919014</v>
      </c>
      <c r="G14" s="214">
        <f t="shared" si="1"/>
        <v>12568.482765690096</v>
      </c>
      <c r="H14" s="214">
        <f t="shared" si="1"/>
        <v>12568.482765690096</v>
      </c>
      <c r="I14" s="214">
        <f t="shared" si="1"/>
        <v>12568.482765690096</v>
      </c>
      <c r="J14" s="214">
        <f t="shared" si="1"/>
        <v>12568.482765690096</v>
      </c>
      <c r="K14" s="214">
        <f t="shared" si="1"/>
        <v>12568.482765690096</v>
      </c>
      <c r="L14" s="214">
        <f t="shared" si="1"/>
        <v>12568.482765690096</v>
      </c>
      <c r="M14" s="214">
        <f t="shared" si="1"/>
        <v>12568.482765690096</v>
      </c>
      <c r="N14" s="214">
        <f t="shared" si="1"/>
        <v>12568.482765690096</v>
      </c>
      <c r="O14" s="214">
        <f t="shared" si="1"/>
        <v>176889.43192147141</v>
      </c>
      <c r="P14" s="163"/>
      <c r="Q14" s="168"/>
      <c r="R14" s="147"/>
      <c r="S14" s="168"/>
      <c r="T14" s="168"/>
      <c r="U14" s="168"/>
      <c r="V14" s="168"/>
      <c r="W14" s="168"/>
      <c r="X14" s="168"/>
      <c r="Y14" s="168"/>
      <c r="Z14" s="168"/>
      <c r="AA14" s="342" t="s">
        <v>58</v>
      </c>
      <c r="AB14" s="342"/>
      <c r="AC14" s="342"/>
      <c r="AD14" s="150"/>
      <c r="AE14" s="343" t="s">
        <v>59</v>
      </c>
      <c r="AF14" s="343"/>
      <c r="AG14" s="343"/>
      <c r="AH14" s="150"/>
      <c r="AI14" s="342" t="s">
        <v>106</v>
      </c>
      <c r="AJ14" s="342"/>
      <c r="AK14" s="342"/>
      <c r="AL14" s="342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</row>
    <row r="15" spans="1:70" s="155" customFormat="1" x14ac:dyDescent="0.35">
      <c r="A15" s="193" t="s">
        <v>64</v>
      </c>
      <c r="B15" s="215">
        <f>B14*$AB$3</f>
        <v>3053662.791838028</v>
      </c>
      <c r="C15" s="215">
        <f t="shared" ref="C15:O15" si="2">C14*$AB$3</f>
        <v>3053662.791838028</v>
      </c>
      <c r="D15" s="215">
        <f t="shared" si="2"/>
        <v>3053662.791838028</v>
      </c>
      <c r="E15" s="215">
        <f t="shared" si="2"/>
        <v>3053662.791838028</v>
      </c>
      <c r="F15" s="215">
        <f t="shared" si="2"/>
        <v>3053662.791838028</v>
      </c>
      <c r="G15" s="215">
        <f t="shared" si="2"/>
        <v>2513696.5531380191</v>
      </c>
      <c r="H15" s="215">
        <f t="shared" si="2"/>
        <v>2513696.5531380191</v>
      </c>
      <c r="I15" s="215">
        <f t="shared" si="2"/>
        <v>2513696.5531380191</v>
      </c>
      <c r="J15" s="215">
        <f t="shared" si="2"/>
        <v>2513696.5531380191</v>
      </c>
      <c r="K15" s="215">
        <f t="shared" si="2"/>
        <v>2513696.5531380191</v>
      </c>
      <c r="L15" s="215">
        <f t="shared" si="2"/>
        <v>2513696.5531380191</v>
      </c>
      <c r="M15" s="215">
        <f t="shared" si="2"/>
        <v>2513696.5531380191</v>
      </c>
      <c r="N15" s="215">
        <f t="shared" si="2"/>
        <v>2513696.5531380191</v>
      </c>
      <c r="O15" s="215">
        <f t="shared" si="2"/>
        <v>35377886.384294279</v>
      </c>
      <c r="P15" s="162"/>
      <c r="Q15" s="168"/>
      <c r="R15" s="147"/>
      <c r="S15" s="168" t="s">
        <v>79</v>
      </c>
      <c r="T15" s="168"/>
      <c r="U15" s="168" t="s">
        <v>78</v>
      </c>
      <c r="V15" s="168"/>
      <c r="W15" s="168"/>
      <c r="X15" s="168"/>
      <c r="Y15" s="168"/>
      <c r="Z15" s="168"/>
      <c r="AA15" s="176" t="s">
        <v>77</v>
      </c>
      <c r="AB15" s="176" t="s">
        <v>76</v>
      </c>
      <c r="AC15" s="176" t="s">
        <v>75</v>
      </c>
      <c r="AD15" s="177"/>
      <c r="AE15" s="176" t="s">
        <v>77</v>
      </c>
      <c r="AF15" s="176" t="s">
        <v>76</v>
      </c>
      <c r="AG15" s="176" t="s">
        <v>75</v>
      </c>
      <c r="AH15" s="176"/>
      <c r="AI15" s="176" t="s">
        <v>77</v>
      </c>
      <c r="AJ15" s="176" t="s">
        <v>76</v>
      </c>
      <c r="AK15" s="176" t="s">
        <v>75</v>
      </c>
      <c r="AL15" s="169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</row>
    <row r="16" spans="1:70" s="157" customFormat="1" ht="15" thickBot="1" x14ac:dyDescent="0.4">
      <c r="A16" s="193"/>
      <c r="B16" s="214"/>
      <c r="C16" s="194"/>
      <c r="D16" s="194"/>
      <c r="E16" s="194"/>
      <c r="F16" s="194"/>
      <c r="G16" s="214"/>
      <c r="H16" s="194"/>
      <c r="I16" s="194"/>
      <c r="J16" s="194"/>
      <c r="K16" s="194"/>
      <c r="L16" s="194"/>
      <c r="M16" s="194"/>
      <c r="N16" s="194"/>
      <c r="O16" s="194"/>
      <c r="P16" s="164"/>
      <c r="Q16" s="168"/>
      <c r="R16" s="147"/>
      <c r="S16" s="168" t="s">
        <v>74</v>
      </c>
      <c r="T16" s="168" t="s">
        <v>73</v>
      </c>
      <c r="U16" s="168" t="s">
        <v>72</v>
      </c>
      <c r="V16" s="168"/>
      <c r="W16" s="168"/>
      <c r="X16" s="168"/>
      <c r="Y16" s="168"/>
      <c r="Z16" s="168"/>
      <c r="AA16" s="176" t="s">
        <v>71</v>
      </c>
      <c r="AB16" s="176" t="s">
        <v>71</v>
      </c>
      <c r="AC16" s="176" t="s">
        <v>71</v>
      </c>
      <c r="AD16" s="177"/>
      <c r="AE16" s="176" t="s">
        <v>71</v>
      </c>
      <c r="AF16" s="176" t="s">
        <v>71</v>
      </c>
      <c r="AG16" s="176" t="s">
        <v>71</v>
      </c>
      <c r="AH16" s="176"/>
      <c r="AI16" s="176" t="s">
        <v>71</v>
      </c>
      <c r="AJ16" s="176" t="s">
        <v>71</v>
      </c>
      <c r="AK16" s="176" t="s">
        <v>71</v>
      </c>
      <c r="AL16" s="169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</row>
    <row r="17" spans="1:70" s="152" customFormat="1" ht="15" thickBot="1" x14ac:dyDescent="0.4">
      <c r="A17" s="197"/>
      <c r="B17" s="216"/>
      <c r="C17" s="198"/>
      <c r="D17" s="198"/>
      <c r="E17" s="198"/>
      <c r="F17" s="198"/>
      <c r="G17" s="216"/>
      <c r="H17" s="198"/>
      <c r="I17" s="198"/>
      <c r="J17" s="198"/>
      <c r="K17" s="198"/>
      <c r="L17" s="198"/>
      <c r="M17" s="198"/>
      <c r="N17" s="198"/>
      <c r="O17" s="198"/>
      <c r="P17" s="159"/>
      <c r="Q17" s="168"/>
      <c r="R17" s="173" t="s">
        <v>70</v>
      </c>
      <c r="S17" s="172">
        <v>7756.2950000000001</v>
      </c>
      <c r="T17" s="172">
        <v>517.5204</v>
      </c>
      <c r="U17" s="172">
        <v>4079</v>
      </c>
      <c r="V17" s="172"/>
      <c r="W17" s="172"/>
      <c r="X17" s="172"/>
      <c r="Y17" s="172"/>
      <c r="Z17" s="172"/>
      <c r="AA17" s="174">
        <v>1699.2047244</v>
      </c>
      <c r="AB17" s="174">
        <v>554.74400000000003</v>
      </c>
      <c r="AC17" s="174">
        <v>2253.9487244000002</v>
      </c>
      <c r="AD17" s="175"/>
      <c r="AE17" s="174">
        <v>1693.5119999999999</v>
      </c>
      <c r="AF17" s="174">
        <v>509.875</v>
      </c>
      <c r="AG17" s="174">
        <v>2203.3869999999997</v>
      </c>
      <c r="AH17" s="175"/>
      <c r="AI17" s="174">
        <v>1675.398786</v>
      </c>
      <c r="AJ17" s="174">
        <v>367.11</v>
      </c>
      <c r="AK17" s="174">
        <v>2042.5087859999999</v>
      </c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</row>
    <row r="18" spans="1:70" s="152" customFormat="1" x14ac:dyDescent="0.35">
      <c r="A18" s="179"/>
      <c r="B18" s="212"/>
      <c r="C18" s="179"/>
      <c r="D18" s="179"/>
      <c r="E18" s="179"/>
      <c r="F18" s="179"/>
      <c r="G18" s="212"/>
      <c r="H18" s="179"/>
      <c r="I18" s="179"/>
      <c r="J18" s="179"/>
      <c r="K18" s="179"/>
      <c r="L18" s="179"/>
      <c r="M18" s="179"/>
      <c r="N18" s="179"/>
      <c r="O18" s="179"/>
      <c r="P18" s="159"/>
      <c r="Q18" s="168"/>
      <c r="R18" s="173" t="s">
        <v>69</v>
      </c>
      <c r="S18" s="172">
        <v>5851</v>
      </c>
      <c r="T18" s="172">
        <v>443</v>
      </c>
      <c r="U18" s="172">
        <v>3428</v>
      </c>
      <c r="V18" s="172"/>
      <c r="W18" s="172"/>
      <c r="X18" s="172"/>
      <c r="Y18" s="172"/>
      <c r="Z18" s="172"/>
      <c r="AA18" s="174">
        <v>1288.9580000000001</v>
      </c>
      <c r="AB18" s="174">
        <v>466.20800000000003</v>
      </c>
      <c r="AC18" s="174">
        <v>1755.1660000000002</v>
      </c>
      <c r="AD18" s="175"/>
      <c r="AE18" s="174">
        <v>1284.085</v>
      </c>
      <c r="AF18" s="174">
        <v>428.5</v>
      </c>
      <c r="AG18" s="174">
        <v>1717.4580000000001</v>
      </c>
      <c r="AH18" s="175"/>
      <c r="AI18" s="174">
        <v>1268.58</v>
      </c>
      <c r="AJ18" s="174">
        <v>308.52</v>
      </c>
      <c r="AK18" s="174">
        <v>1577.1</v>
      </c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</row>
    <row r="19" spans="1:70" s="152" customFormat="1" x14ac:dyDescent="0.35">
      <c r="A19" s="179"/>
      <c r="B19" s="212"/>
      <c r="C19" s="179"/>
      <c r="D19" s="179"/>
      <c r="E19" s="179"/>
      <c r="F19" s="179"/>
      <c r="G19" s="212"/>
      <c r="H19" s="179"/>
      <c r="I19" s="179"/>
      <c r="J19" s="179"/>
      <c r="K19" s="179"/>
      <c r="L19" s="179"/>
      <c r="M19" s="179"/>
      <c r="N19" s="179"/>
      <c r="O19" s="179"/>
      <c r="P19" s="159"/>
      <c r="Q19" s="168"/>
      <c r="R19" s="173" t="s">
        <v>65</v>
      </c>
      <c r="S19" s="172">
        <v>6404.3546999999999</v>
      </c>
      <c r="T19" s="172">
        <v>466.53879999999998</v>
      </c>
      <c r="U19" s="172">
        <v>3428</v>
      </c>
      <c r="V19" s="172"/>
      <c r="W19" s="172"/>
      <c r="X19" s="172"/>
      <c r="Y19" s="172"/>
      <c r="Z19" s="172"/>
      <c r="AA19" s="174">
        <v>1408.3637638</v>
      </c>
      <c r="AB19" s="174">
        <v>466.20800000000003</v>
      </c>
      <c r="AC19" s="174">
        <v>1874.5717638000001</v>
      </c>
      <c r="AD19" s="175"/>
      <c r="AE19" s="174">
        <v>1403.231837</v>
      </c>
      <c r="AF19" s="174">
        <v>428.5</v>
      </c>
      <c r="AG19" s="174">
        <v>1836.8637638</v>
      </c>
      <c r="AH19" s="175"/>
      <c r="AI19" s="174">
        <v>1386.902979</v>
      </c>
      <c r="AJ19" s="174">
        <v>308.52</v>
      </c>
      <c r="AK19" s="174">
        <v>1695.4229789999999</v>
      </c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</row>
    <row r="20" spans="1:70" s="152" customFormat="1" x14ac:dyDescent="0.35">
      <c r="A20" s="180" t="s">
        <v>0</v>
      </c>
      <c r="B20" s="209" t="s">
        <v>7</v>
      </c>
      <c r="C20" s="182" t="s">
        <v>8</v>
      </c>
      <c r="D20" s="182" t="s">
        <v>9</v>
      </c>
      <c r="E20" s="182" t="s">
        <v>10</v>
      </c>
      <c r="F20" s="182" t="s">
        <v>11</v>
      </c>
      <c r="G20" s="209" t="s">
        <v>12</v>
      </c>
      <c r="H20" s="182" t="s">
        <v>13</v>
      </c>
      <c r="I20" s="182" t="s">
        <v>14</v>
      </c>
      <c r="J20" s="182" t="s">
        <v>15</v>
      </c>
      <c r="K20" s="182" t="s">
        <v>16</v>
      </c>
      <c r="L20" s="183" t="s">
        <v>17</v>
      </c>
      <c r="M20" s="184" t="s">
        <v>23</v>
      </c>
      <c r="N20" s="184" t="s">
        <v>24</v>
      </c>
      <c r="O20" s="185" t="s">
        <v>18</v>
      </c>
      <c r="P20" s="160"/>
      <c r="Q20" s="168"/>
      <c r="R20" s="173" t="s">
        <v>66</v>
      </c>
      <c r="S20" s="172">
        <v>3681.8650249999996</v>
      </c>
      <c r="T20" s="172">
        <v>334.46890000000002</v>
      </c>
      <c r="U20" s="172">
        <v>2627</v>
      </c>
      <c r="V20" s="172"/>
      <c r="W20" s="172"/>
      <c r="X20" s="172"/>
      <c r="Y20" s="172"/>
      <c r="Z20" s="172"/>
      <c r="AA20" s="174">
        <v>818.67942564999998</v>
      </c>
      <c r="AB20" s="174">
        <v>357.27200000000005</v>
      </c>
      <c r="AC20" s="174">
        <v>1175.9514256499999</v>
      </c>
      <c r="AD20" s="175">
        <v>0</v>
      </c>
      <c r="AE20" s="174">
        <v>815.00026774999992</v>
      </c>
      <c r="AF20" s="174">
        <v>328.375</v>
      </c>
      <c r="AG20" s="174">
        <v>1147.05442565</v>
      </c>
      <c r="AH20" s="175">
        <v>0</v>
      </c>
      <c r="AI20" s="174">
        <v>803.29385624999986</v>
      </c>
      <c r="AJ20" s="174">
        <v>236.43</v>
      </c>
      <c r="AK20" s="174">
        <v>1039.7238562499999</v>
      </c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</row>
    <row r="21" spans="1:70" s="152" customFormat="1" x14ac:dyDescent="0.35">
      <c r="A21" s="154" t="s">
        <v>27</v>
      </c>
      <c r="B21" s="217">
        <v>498</v>
      </c>
      <c r="C21" s="199">
        <v>498</v>
      </c>
      <c r="D21" s="199">
        <v>498</v>
      </c>
      <c r="E21" s="199">
        <v>498</v>
      </c>
      <c r="F21" s="199">
        <v>498</v>
      </c>
      <c r="G21" s="217">
        <v>498</v>
      </c>
      <c r="H21" s="199">
        <v>498</v>
      </c>
      <c r="I21" s="199">
        <v>498</v>
      </c>
      <c r="J21" s="199">
        <v>498</v>
      </c>
      <c r="K21" s="199">
        <v>498</v>
      </c>
      <c r="L21" s="199">
        <v>498</v>
      </c>
      <c r="M21" s="199">
        <v>498</v>
      </c>
      <c r="N21" s="199">
        <v>498</v>
      </c>
      <c r="O21" s="200">
        <f>SUM(B21:N21)</f>
        <v>6474</v>
      </c>
      <c r="P21" s="159"/>
      <c r="Q21" s="168"/>
      <c r="R21" s="147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51"/>
      <c r="AE21" s="168"/>
      <c r="AF21" s="168"/>
      <c r="AG21" s="168"/>
      <c r="AH21" s="151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  <c r="BR21" s="168"/>
    </row>
    <row r="22" spans="1:70" s="152" customFormat="1" x14ac:dyDescent="0.35">
      <c r="A22" s="187" t="s">
        <v>20</v>
      </c>
      <c r="B22" s="218">
        <f>'housing proportion projections'!I11</f>
        <v>109.82304921968787</v>
      </c>
      <c r="C22" s="218">
        <f>'housing proportion projections'!J11</f>
        <v>109.82304921968787</v>
      </c>
      <c r="D22" s="218">
        <f>'housing proportion projections'!K11</f>
        <v>109.82304921968787</v>
      </c>
      <c r="E22" s="218">
        <f>'housing proportion projections'!L11</f>
        <v>109.82304921968787</v>
      </c>
      <c r="F22" s="218">
        <f>'housing proportion projections'!M11</f>
        <v>109.82304921968787</v>
      </c>
      <c r="G22" s="218">
        <f>'housing proportion projections'!N11</f>
        <v>109.82304921968787</v>
      </c>
      <c r="H22" s="218">
        <f>'housing proportion projections'!O11</f>
        <v>109.82304921968787</v>
      </c>
      <c r="I22" s="218">
        <f>'housing proportion projections'!P11</f>
        <v>109.82304921968787</v>
      </c>
      <c r="J22" s="218">
        <f>'housing proportion projections'!Q11</f>
        <v>109.82304921968787</v>
      </c>
      <c r="K22" s="218">
        <f>'housing proportion projections'!R11</f>
        <v>109.82304921968787</v>
      </c>
      <c r="L22" s="218">
        <f>'housing proportion projections'!S11</f>
        <v>109.82304921968787</v>
      </c>
      <c r="M22" s="218">
        <f>'housing proportion projections'!T11</f>
        <v>109.82304921968787</v>
      </c>
      <c r="N22" s="218">
        <f>'housing proportion projections'!U11</f>
        <v>109.82304921968787</v>
      </c>
      <c r="O22" s="200">
        <f t="shared" ref="O22:O25" si="3">SUM(B22:N22)</f>
        <v>1427.6996398559422</v>
      </c>
      <c r="P22" s="159"/>
      <c r="Q22" s="168"/>
      <c r="R22" s="147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51"/>
      <c r="AE22" s="168"/>
      <c r="AF22" s="168"/>
      <c r="AG22" s="168"/>
      <c r="AH22" s="151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</row>
    <row r="23" spans="1:70" s="152" customFormat="1" x14ac:dyDescent="0.35">
      <c r="A23" s="187" t="s">
        <v>21</v>
      </c>
      <c r="B23" s="218">
        <f>'housing proportion projections'!I12</f>
        <v>157.47082833133254</v>
      </c>
      <c r="C23" s="218">
        <f>'housing proportion projections'!J12</f>
        <v>157.47082833133254</v>
      </c>
      <c r="D23" s="218">
        <f>'housing proportion projections'!K12</f>
        <v>157.47082833133254</v>
      </c>
      <c r="E23" s="218">
        <f>'housing proportion projections'!L12</f>
        <v>157.47082833133254</v>
      </c>
      <c r="F23" s="218">
        <f>'housing proportion projections'!M12</f>
        <v>157.47082833133254</v>
      </c>
      <c r="G23" s="218">
        <f>'housing proportion projections'!N12</f>
        <v>157.47082833133254</v>
      </c>
      <c r="H23" s="218">
        <f>'housing proportion projections'!O12</f>
        <v>157.47082833133254</v>
      </c>
      <c r="I23" s="218">
        <f>'housing proportion projections'!P12</f>
        <v>157.47082833133254</v>
      </c>
      <c r="J23" s="218">
        <f>'housing proportion projections'!Q12</f>
        <v>157.47082833133254</v>
      </c>
      <c r="K23" s="218">
        <f>'housing proportion projections'!R12</f>
        <v>157.47082833133254</v>
      </c>
      <c r="L23" s="218">
        <f>'housing proportion projections'!S12</f>
        <v>157.47082833133254</v>
      </c>
      <c r="M23" s="218">
        <f>'housing proportion projections'!T12</f>
        <v>157.47082833133254</v>
      </c>
      <c r="N23" s="218">
        <f>'housing proportion projections'!U12</f>
        <v>157.47082833133254</v>
      </c>
      <c r="O23" s="200">
        <f t="shared" si="3"/>
        <v>2047.120768307323</v>
      </c>
      <c r="P23" s="159"/>
      <c r="Q23" s="168"/>
      <c r="R23" s="147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51"/>
      <c r="AE23" s="168"/>
      <c r="AF23" s="168"/>
      <c r="AG23" s="168"/>
      <c r="AH23" s="151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</row>
    <row r="24" spans="1:70" s="158" customFormat="1" x14ac:dyDescent="0.35">
      <c r="A24" s="187" t="s">
        <v>26</v>
      </c>
      <c r="B24" s="218">
        <f>'housing proportion projections'!I13</f>
        <v>156.45450180072029</v>
      </c>
      <c r="C24" s="218">
        <f>'housing proportion projections'!J13</f>
        <v>156.45450180072029</v>
      </c>
      <c r="D24" s="218">
        <f>'housing proportion projections'!K13</f>
        <v>156.45450180072029</v>
      </c>
      <c r="E24" s="218">
        <f>'housing proportion projections'!L13</f>
        <v>156.45450180072029</v>
      </c>
      <c r="F24" s="218">
        <f>'housing proportion projections'!M13</f>
        <v>156.45450180072029</v>
      </c>
      <c r="G24" s="218">
        <f>'housing proportion projections'!N13</f>
        <v>156.45450180072029</v>
      </c>
      <c r="H24" s="218">
        <f>'housing proportion projections'!O13</f>
        <v>156.45450180072029</v>
      </c>
      <c r="I24" s="218">
        <f>'housing proportion projections'!P13</f>
        <v>156.45450180072029</v>
      </c>
      <c r="J24" s="218">
        <f>'housing proportion projections'!Q13</f>
        <v>156.45450180072029</v>
      </c>
      <c r="K24" s="218">
        <f>'housing proportion projections'!R13</f>
        <v>156.45450180072029</v>
      </c>
      <c r="L24" s="218">
        <f>'housing proportion projections'!S13</f>
        <v>156.45450180072029</v>
      </c>
      <c r="M24" s="218">
        <f>'housing proportion projections'!T13</f>
        <v>156.45450180072029</v>
      </c>
      <c r="N24" s="218">
        <f>'housing proportion projections'!U13</f>
        <v>156.45450180072029</v>
      </c>
      <c r="O24" s="200">
        <f t="shared" si="3"/>
        <v>2033.9085234093634</v>
      </c>
      <c r="P24" s="167"/>
      <c r="Q24" s="168"/>
      <c r="R24" s="147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51"/>
      <c r="AE24" s="168"/>
      <c r="AF24" s="168"/>
      <c r="AG24" s="168"/>
      <c r="AH24" s="151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</row>
    <row r="25" spans="1:70" s="152" customFormat="1" ht="15" thickBot="1" x14ac:dyDescent="0.4">
      <c r="A25" s="190" t="s">
        <v>22</v>
      </c>
      <c r="B25" s="218">
        <f>'housing proportion projections'!I14</f>
        <v>74.251620648259305</v>
      </c>
      <c r="C25" s="218">
        <f>'housing proportion projections'!J14</f>
        <v>74.251620648259305</v>
      </c>
      <c r="D25" s="218">
        <f>'housing proportion projections'!K14</f>
        <v>74.251620648259305</v>
      </c>
      <c r="E25" s="218">
        <f>'housing proportion projections'!L14</f>
        <v>74.251620648259305</v>
      </c>
      <c r="F25" s="218">
        <f>'housing proportion projections'!M14</f>
        <v>74.251620648259305</v>
      </c>
      <c r="G25" s="218">
        <f>'housing proportion projections'!N14</f>
        <v>74.251620648259305</v>
      </c>
      <c r="H25" s="218">
        <f>'housing proportion projections'!O14</f>
        <v>74.251620648259305</v>
      </c>
      <c r="I25" s="218">
        <f>'housing proportion projections'!P14</f>
        <v>74.251620648259305</v>
      </c>
      <c r="J25" s="218">
        <f>'housing proportion projections'!Q14</f>
        <v>74.251620648259305</v>
      </c>
      <c r="K25" s="218">
        <f>'housing proportion projections'!R14</f>
        <v>74.251620648259305</v>
      </c>
      <c r="L25" s="218">
        <f>'housing proportion projections'!S14</f>
        <v>74.251620648259305</v>
      </c>
      <c r="M25" s="218">
        <f>'housing proportion projections'!T14</f>
        <v>74.251620648259305</v>
      </c>
      <c r="N25" s="218">
        <f>'housing proportion projections'!U14</f>
        <v>74.251620648259305</v>
      </c>
      <c r="O25" s="200">
        <f t="shared" si="3"/>
        <v>965.27106842737089</v>
      </c>
      <c r="P25" s="159"/>
      <c r="Q25" s="168"/>
      <c r="R25" s="344" t="s">
        <v>108</v>
      </c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171"/>
      <c r="AE25" s="344" t="s">
        <v>124</v>
      </c>
      <c r="AF25" s="344"/>
      <c r="AG25" s="344"/>
      <c r="AH25" s="171"/>
      <c r="AI25" s="345" t="s">
        <v>124</v>
      </c>
      <c r="AJ25" s="345"/>
      <c r="AK25" s="345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</row>
    <row r="26" spans="1:70" s="156" customFormat="1" ht="15" thickBot="1" x14ac:dyDescent="0.4">
      <c r="A26" s="179"/>
      <c r="B26" s="212"/>
      <c r="C26" s="179"/>
      <c r="D26" s="179"/>
      <c r="E26" s="179"/>
      <c r="F26" s="179"/>
      <c r="G26" s="212"/>
      <c r="H26" s="179"/>
      <c r="I26" s="179"/>
      <c r="J26" s="179"/>
      <c r="K26" s="179"/>
      <c r="L26" s="179"/>
      <c r="M26" s="179"/>
      <c r="N26" s="179"/>
      <c r="O26" s="179"/>
      <c r="P26" s="161"/>
      <c r="Q26" s="168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171"/>
      <c r="AE26" s="344"/>
      <c r="AF26" s="344"/>
      <c r="AG26" s="344"/>
      <c r="AH26" s="171"/>
      <c r="AI26" s="345"/>
      <c r="AJ26" s="345"/>
      <c r="AK26" s="345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  <c r="BI26" s="168"/>
      <c r="BJ26" s="168"/>
      <c r="BK26" s="168"/>
      <c r="BL26" s="168"/>
      <c r="BM26" s="168"/>
      <c r="BN26" s="168"/>
      <c r="BO26" s="168"/>
      <c r="BP26" s="168"/>
      <c r="BQ26" s="168"/>
      <c r="BR26" s="168"/>
    </row>
    <row r="27" spans="1:70" s="155" customFormat="1" x14ac:dyDescent="0.35">
      <c r="A27" s="191" t="s">
        <v>134</v>
      </c>
      <c r="B27" s="213"/>
      <c r="C27" s="192"/>
      <c r="D27" s="192"/>
      <c r="E27" s="192"/>
      <c r="F27" s="192"/>
      <c r="G27" s="213"/>
      <c r="H27" s="192"/>
      <c r="I27" s="192"/>
      <c r="J27" s="192"/>
      <c r="K27" s="192"/>
      <c r="L27" s="192"/>
      <c r="M27" s="192"/>
      <c r="N27" s="192"/>
      <c r="O27" s="192"/>
      <c r="P27" s="162"/>
      <c r="Q27" s="168"/>
      <c r="R27" s="173" t="s">
        <v>70</v>
      </c>
      <c r="S27" s="172"/>
      <c r="T27" s="172"/>
      <c r="U27" s="172"/>
      <c r="V27" s="172"/>
      <c r="W27" s="172"/>
      <c r="X27" s="172"/>
      <c r="Y27" s="172"/>
      <c r="Z27" s="172"/>
      <c r="AA27" s="174">
        <f>AA17-(AA17*0.2)</f>
        <v>1359.36377952</v>
      </c>
      <c r="AB27" s="174"/>
      <c r="AC27" s="174"/>
      <c r="AD27" s="175"/>
      <c r="AE27" s="174">
        <f>AE17-(AE17*0.89)</f>
        <v>186.28631999999993</v>
      </c>
      <c r="AF27" s="174"/>
      <c r="AG27" s="174"/>
      <c r="AH27" s="175"/>
      <c r="AI27" s="174">
        <f>AI17-(AI17*0.8)</f>
        <v>335.0797571999999</v>
      </c>
      <c r="AJ27" s="174"/>
      <c r="AK27" s="174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  <c r="BP27" s="168"/>
      <c r="BQ27" s="168"/>
      <c r="BR27" s="168"/>
    </row>
    <row r="28" spans="1:70" s="155" customFormat="1" x14ac:dyDescent="0.35">
      <c r="A28" s="193" t="s">
        <v>112</v>
      </c>
      <c r="B28" s="214">
        <f>30*((B22*$AF$17)+(B23*$AF$18)+(B24*$AF$19)+(B25*$AF$20))+'scenario 1'!B28</f>
        <v>10456359.867420865</v>
      </c>
      <c r="C28" s="214">
        <f>30*((C22*$AF$17)+(C23*$AF$18)+(C24*$AF$19)+(C25*$AF$20))+'scenario 1'!C28</f>
        <v>10456359.867420865</v>
      </c>
      <c r="D28" s="214">
        <f>30*((D22*$AF$17)+(D23*$AF$18)+(D24*$AF$19)+(D25*$AF$20))+'scenario 1'!D28</f>
        <v>10456359.867420865</v>
      </c>
      <c r="E28" s="214">
        <f>30*((E22*$AF$17)+(E23*$AF$18)+(E24*$AF$19)+(E25*$AF$20))+'scenario 1'!E28</f>
        <v>10456359.867420865</v>
      </c>
      <c r="F28" s="214">
        <f>30*((F22*$AF$17)+(F23*$AF$18)+(F24*$AF$19)+(F25*$AF$20))+'scenario 1'!F28</f>
        <v>10456359.867420865</v>
      </c>
      <c r="G28" s="214">
        <f>30*((G22*$AJ$17)+(G23*$AJ$18)+(G24*$AJ$19)+(G25*$AJ$20))+'scenario 1'!G28</f>
        <v>8604109.7859421186</v>
      </c>
      <c r="H28" s="214">
        <f>30*((H22*$AJ$17)+(H23*$AJ$18)+(H24*$AJ$19)+(H25*$AJ$20))+'scenario 1'!H28</f>
        <v>8604109.7859421186</v>
      </c>
      <c r="I28" s="214">
        <f>30*((I22*$AJ$17)+(I23*$AJ$18)+(I24*$AJ$19)+(I25*$AJ$20))+'scenario 1'!I28</f>
        <v>8604109.7859421186</v>
      </c>
      <c r="J28" s="214">
        <f>30*((J22*$AJ$17)+(J23*$AJ$18)+(J24*$AJ$19)+(J25*$AJ$20))+'scenario 1'!J28</f>
        <v>8604109.7859421186</v>
      </c>
      <c r="K28" s="214">
        <f>30*((K22*$AJ$17)+(K23*$AJ$18)+(K24*$AJ$19)+(K25*$AJ$20))+'scenario 1'!K28</f>
        <v>8604109.7859421186</v>
      </c>
      <c r="L28" s="214">
        <f>30*((L22*$AJ$17)+(L23*$AJ$18)+(L24*$AJ$19)+(L25*$AJ$20))+'scenario 1'!L28</f>
        <v>8604109.7859421186</v>
      </c>
      <c r="M28" s="214">
        <f>30*((M22*$AJ$17)+(M23*$AJ$18)+(M24*$AJ$19)+(M25*$AJ$20))+'scenario 1'!M28</f>
        <v>8604109.7859421186</v>
      </c>
      <c r="N28" s="214">
        <f>30*((N22*$AJ$17)+(N23*$AJ$18)+(N24*$AJ$19)+(N25*$AJ$20))+'scenario 1'!N28</f>
        <v>8604109.7859421186</v>
      </c>
      <c r="O28" s="214">
        <f>SUM(B28:N28)</f>
        <v>121114677.6246413</v>
      </c>
      <c r="P28" s="163"/>
      <c r="Q28" s="168"/>
      <c r="R28" s="173" t="s">
        <v>69</v>
      </c>
      <c r="S28" s="172"/>
      <c r="T28" s="172"/>
      <c r="U28" s="172"/>
      <c r="V28" s="172"/>
      <c r="W28" s="172"/>
      <c r="X28" s="172"/>
      <c r="Y28" s="172"/>
      <c r="Z28" s="172"/>
      <c r="AA28" s="174">
        <f t="shared" ref="AA28:AA30" si="4">AA18-(AA18*0.2)</f>
        <v>1031.1664000000001</v>
      </c>
      <c r="AB28" s="174"/>
      <c r="AC28" s="174"/>
      <c r="AD28" s="175"/>
      <c r="AE28" s="174">
        <f>AE18-(AE18*0.8)</f>
        <v>256.81700000000001</v>
      </c>
      <c r="AF28" s="174"/>
      <c r="AG28" s="174"/>
      <c r="AH28" s="175"/>
      <c r="AI28" s="174">
        <f>AI18-(AI18*0.8)</f>
        <v>253.71599999999989</v>
      </c>
      <c r="AJ28" s="174"/>
      <c r="AK28" s="174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8"/>
      <c r="BN28" s="168"/>
      <c r="BO28" s="168"/>
      <c r="BP28" s="168"/>
      <c r="BQ28" s="168"/>
      <c r="BR28" s="168"/>
    </row>
    <row r="29" spans="1:70" s="155" customFormat="1" x14ac:dyDescent="0.35">
      <c r="A29" s="193" t="s">
        <v>113</v>
      </c>
      <c r="B29" s="214">
        <f t="shared" ref="B29" si="5">B28/1000</f>
        <v>10456.359867420866</v>
      </c>
      <c r="C29" s="214">
        <f t="shared" ref="C29" si="6">C28/1000</f>
        <v>10456.359867420866</v>
      </c>
      <c r="D29" s="214">
        <f t="shared" ref="D29" si="7">D28/1000</f>
        <v>10456.359867420866</v>
      </c>
      <c r="E29" s="214">
        <f t="shared" ref="E29" si="8">E28/1000</f>
        <v>10456.359867420866</v>
      </c>
      <c r="F29" s="214">
        <f t="shared" ref="F29" si="9">F28/1000</f>
        <v>10456.359867420866</v>
      </c>
      <c r="G29" s="214">
        <f t="shared" ref="G29" si="10">G28/1000</f>
        <v>8604.1097859421188</v>
      </c>
      <c r="H29" s="214">
        <f t="shared" ref="H29" si="11">H28/1000</f>
        <v>8604.1097859421188</v>
      </c>
      <c r="I29" s="214">
        <f t="shared" ref="I29" si="12">I28/1000</f>
        <v>8604.1097859421188</v>
      </c>
      <c r="J29" s="214">
        <f t="shared" ref="J29" si="13">J28/1000</f>
        <v>8604.1097859421188</v>
      </c>
      <c r="K29" s="214">
        <f t="shared" ref="K29" si="14">K28/1000</f>
        <v>8604.1097859421188</v>
      </c>
      <c r="L29" s="214">
        <f t="shared" ref="L29" si="15">L28/1000</f>
        <v>8604.1097859421188</v>
      </c>
      <c r="M29" s="214">
        <f t="shared" ref="M29" si="16">M28/1000</f>
        <v>8604.1097859421188</v>
      </c>
      <c r="N29" s="214">
        <f t="shared" ref="N29" si="17">N28/1000</f>
        <v>8604.1097859421188</v>
      </c>
      <c r="O29" s="214">
        <f t="shared" ref="O29" si="18">O28/1000</f>
        <v>121114.67762464131</v>
      </c>
      <c r="P29" s="162"/>
      <c r="Q29" s="168"/>
      <c r="R29" s="173" t="s">
        <v>65</v>
      </c>
      <c r="S29" s="172"/>
      <c r="T29" s="172"/>
      <c r="U29" s="172"/>
      <c r="V29" s="172"/>
      <c r="W29" s="172"/>
      <c r="X29" s="172"/>
      <c r="Y29" s="172"/>
      <c r="Z29" s="172"/>
      <c r="AA29" s="174">
        <f t="shared" si="4"/>
        <v>1126.6910110399999</v>
      </c>
      <c r="AB29" s="174"/>
      <c r="AC29" s="174"/>
      <c r="AD29" s="175"/>
      <c r="AE29" s="174">
        <f>AE19-(AE19*0.8)</f>
        <v>280.64636739999992</v>
      </c>
      <c r="AF29" s="174"/>
      <c r="AG29" s="174"/>
      <c r="AH29" s="175"/>
      <c r="AI29" s="174">
        <f>AI19-(AI19*0.8)</f>
        <v>277.38059580000004</v>
      </c>
      <c r="AJ29" s="174"/>
      <c r="AK29" s="174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8"/>
      <c r="BH29" s="168"/>
      <c r="BI29" s="168"/>
      <c r="BJ29" s="168"/>
      <c r="BK29" s="168"/>
      <c r="BL29" s="168"/>
      <c r="BM29" s="168"/>
      <c r="BN29" s="168"/>
      <c r="BO29" s="168"/>
      <c r="BP29" s="168"/>
      <c r="BQ29" s="168"/>
      <c r="BR29" s="168"/>
    </row>
    <row r="30" spans="1:70" s="157" customFormat="1" ht="15" thickBot="1" x14ac:dyDescent="0.4">
      <c r="A30" s="193" t="s">
        <v>64</v>
      </c>
      <c r="B30" s="215">
        <f>B29*$AB$3</f>
        <v>2091271.9734841732</v>
      </c>
      <c r="C30" s="215">
        <f t="shared" ref="C30" si="19">C29*$AB$3</f>
        <v>2091271.9734841732</v>
      </c>
      <c r="D30" s="215">
        <f t="shared" ref="D30" si="20">D29*$AB$3</f>
        <v>2091271.9734841732</v>
      </c>
      <c r="E30" s="215">
        <f t="shared" ref="E30" si="21">E29*$AB$3</f>
        <v>2091271.9734841732</v>
      </c>
      <c r="F30" s="215">
        <f t="shared" ref="F30" si="22">F29*$AB$3</f>
        <v>2091271.9734841732</v>
      </c>
      <c r="G30" s="215">
        <f t="shared" ref="G30" si="23">G29*$AB$3</f>
        <v>1720821.9571884237</v>
      </c>
      <c r="H30" s="215">
        <f t="shared" ref="H30" si="24">H29*$AB$3</f>
        <v>1720821.9571884237</v>
      </c>
      <c r="I30" s="215">
        <f t="shared" ref="I30" si="25">I29*$AB$3</f>
        <v>1720821.9571884237</v>
      </c>
      <c r="J30" s="215">
        <f t="shared" ref="J30" si="26">J29*$AB$3</f>
        <v>1720821.9571884237</v>
      </c>
      <c r="K30" s="215">
        <f t="shared" ref="K30" si="27">K29*$AB$3</f>
        <v>1720821.9571884237</v>
      </c>
      <c r="L30" s="215">
        <f t="shared" ref="L30" si="28">L29*$AB$3</f>
        <v>1720821.9571884237</v>
      </c>
      <c r="M30" s="215">
        <f t="shared" ref="M30" si="29">M29*$AB$3</f>
        <v>1720821.9571884237</v>
      </c>
      <c r="N30" s="215">
        <f t="shared" ref="N30" si="30">N29*$AB$3</f>
        <v>1720821.9571884237</v>
      </c>
      <c r="O30" s="215">
        <f t="shared" ref="O30" si="31">O29*$AB$3</f>
        <v>24222935.524928261</v>
      </c>
      <c r="P30" s="164"/>
      <c r="Q30" s="168"/>
      <c r="R30" s="173" t="s">
        <v>66</v>
      </c>
      <c r="S30" s="172"/>
      <c r="T30" s="172"/>
      <c r="U30" s="172"/>
      <c r="V30" s="172"/>
      <c r="W30" s="172"/>
      <c r="X30" s="172"/>
      <c r="Y30" s="172"/>
      <c r="Z30" s="172"/>
      <c r="AA30" s="174">
        <f t="shared" si="4"/>
        <v>654.94354051999994</v>
      </c>
      <c r="AB30" s="174"/>
      <c r="AC30" s="174"/>
      <c r="AD30" s="175"/>
      <c r="AE30" s="174">
        <f>AE20-(AE20*0.8)</f>
        <v>163.00005354999996</v>
      </c>
      <c r="AF30" s="174"/>
      <c r="AG30" s="174"/>
      <c r="AH30" s="175"/>
      <c r="AI30" s="174">
        <f>AI20-(AI20*0.8)</f>
        <v>160.65877124999997</v>
      </c>
      <c r="AJ30" s="174"/>
      <c r="AK30" s="174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</row>
    <row r="31" spans="1:70" s="152" customFormat="1" ht="15.75" customHeight="1" x14ac:dyDescent="0.35">
      <c r="A31" s="193"/>
      <c r="B31" s="214"/>
      <c r="C31" s="194"/>
      <c r="D31" s="194"/>
      <c r="E31" s="194"/>
      <c r="F31" s="194"/>
      <c r="G31" s="214"/>
      <c r="H31" s="194"/>
      <c r="I31" s="194"/>
      <c r="J31" s="194"/>
      <c r="K31" s="194"/>
      <c r="L31" s="194"/>
      <c r="M31" s="194"/>
      <c r="N31" s="194"/>
      <c r="O31" s="194"/>
      <c r="P31" s="159"/>
      <c r="Q31" s="168"/>
      <c r="R31" s="173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83"/>
      <c r="AE31" s="174"/>
      <c r="AF31" s="172"/>
      <c r="AG31" s="172"/>
      <c r="AH31" s="83"/>
      <c r="AI31" s="174"/>
      <c r="AJ31" s="172"/>
      <c r="AK31" s="172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</row>
    <row r="32" spans="1:70" s="152" customFormat="1" ht="15" thickBot="1" x14ac:dyDescent="0.4">
      <c r="A32" s="197"/>
      <c r="B32" s="216"/>
      <c r="C32" s="198"/>
      <c r="D32" s="198"/>
      <c r="E32" s="198"/>
      <c r="F32" s="198"/>
      <c r="G32" s="216"/>
      <c r="H32" s="198"/>
      <c r="I32" s="198"/>
      <c r="J32" s="198"/>
      <c r="K32" s="198"/>
      <c r="L32" s="198"/>
      <c r="M32" s="198"/>
      <c r="N32" s="198"/>
      <c r="O32" s="198"/>
      <c r="P32" s="159"/>
      <c r="Q32" s="168"/>
      <c r="R32" s="173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83"/>
      <c r="AE32" s="172"/>
      <c r="AF32" s="172"/>
      <c r="AG32" s="172"/>
      <c r="AH32" s="83"/>
      <c r="AI32" s="172"/>
      <c r="AJ32" s="172"/>
      <c r="AK32" s="172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</row>
    <row r="33" spans="1:70" s="152" customFormat="1" x14ac:dyDescent="0.35">
      <c r="A33" s="187"/>
      <c r="B33" s="212"/>
      <c r="C33" s="179"/>
      <c r="D33" s="179"/>
      <c r="E33" s="179"/>
      <c r="F33" s="179"/>
      <c r="G33" s="212"/>
      <c r="H33" s="179"/>
      <c r="I33" s="179"/>
      <c r="J33" s="179"/>
      <c r="K33" s="179"/>
      <c r="L33" s="179"/>
      <c r="M33" s="179"/>
      <c r="N33" s="179"/>
      <c r="O33" s="179"/>
      <c r="P33" s="159"/>
      <c r="Q33" s="168"/>
      <c r="R33" s="158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83"/>
      <c r="AE33" s="172"/>
      <c r="AF33" s="172"/>
      <c r="AG33" s="172"/>
      <c r="AH33" s="83"/>
      <c r="AI33" s="172"/>
      <c r="AJ33" s="172"/>
      <c r="AK33" s="172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8"/>
      <c r="BG33" s="168"/>
      <c r="BH33" s="168"/>
      <c r="BI33" s="168"/>
      <c r="BJ33" s="168"/>
      <c r="BK33" s="168"/>
      <c r="BL33" s="168"/>
      <c r="BM33" s="168"/>
      <c r="BN33" s="168"/>
      <c r="BO33" s="168"/>
      <c r="BP33" s="168"/>
      <c r="BQ33" s="168"/>
      <c r="BR33" s="168"/>
    </row>
    <row r="34" spans="1:70" s="152" customFormat="1" x14ac:dyDescent="0.35">
      <c r="A34" s="187"/>
      <c r="B34" s="212"/>
      <c r="C34" s="179"/>
      <c r="D34" s="179"/>
      <c r="E34" s="179"/>
      <c r="F34" s="179"/>
      <c r="G34" s="212"/>
      <c r="H34" s="179"/>
      <c r="I34" s="179"/>
      <c r="J34" s="179"/>
      <c r="K34" s="179"/>
      <c r="L34" s="179"/>
      <c r="M34" s="179"/>
      <c r="N34" s="179"/>
      <c r="O34" s="179"/>
      <c r="P34" s="160"/>
      <c r="Q34" s="168"/>
      <c r="R34" s="147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51"/>
      <c r="AE34" s="168"/>
      <c r="AF34" s="168"/>
      <c r="AG34" s="168"/>
      <c r="AH34" s="151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8"/>
      <c r="BG34" s="168"/>
      <c r="BH34" s="168"/>
      <c r="BI34" s="168"/>
      <c r="BJ34" s="168"/>
      <c r="BK34" s="168"/>
      <c r="BL34" s="168"/>
      <c r="BM34" s="168"/>
      <c r="BN34" s="168"/>
      <c r="BO34" s="168"/>
      <c r="BP34" s="168"/>
      <c r="BQ34" s="168"/>
      <c r="BR34" s="168"/>
    </row>
    <row r="35" spans="1:70" s="152" customFormat="1" x14ac:dyDescent="0.35">
      <c r="A35" s="180" t="s">
        <v>0</v>
      </c>
      <c r="B35" s="209" t="s">
        <v>7</v>
      </c>
      <c r="C35" s="182" t="s">
        <v>8</v>
      </c>
      <c r="D35" s="182" t="s">
        <v>9</v>
      </c>
      <c r="E35" s="182" t="s">
        <v>10</v>
      </c>
      <c r="F35" s="182" t="s">
        <v>11</v>
      </c>
      <c r="G35" s="209" t="s">
        <v>12</v>
      </c>
      <c r="H35" s="182" t="s">
        <v>13</v>
      </c>
      <c r="I35" s="182" t="s">
        <v>14</v>
      </c>
      <c r="J35" s="182" t="s">
        <v>15</v>
      </c>
      <c r="K35" s="182" t="s">
        <v>16</v>
      </c>
      <c r="L35" s="183" t="s">
        <v>17</v>
      </c>
      <c r="M35" s="184" t="s">
        <v>23</v>
      </c>
      <c r="N35" s="184" t="s">
        <v>24</v>
      </c>
      <c r="O35" s="185" t="s">
        <v>18</v>
      </c>
      <c r="P35" s="159"/>
      <c r="Q35" s="168"/>
      <c r="R35" s="147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51"/>
      <c r="AE35" s="168"/>
      <c r="AF35" s="168"/>
      <c r="AG35" s="168"/>
      <c r="AH35" s="151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8"/>
      <c r="BQ35" s="168"/>
      <c r="BR35" s="168"/>
    </row>
    <row r="36" spans="1:70" s="152" customFormat="1" x14ac:dyDescent="0.35">
      <c r="A36" s="154" t="s">
        <v>53</v>
      </c>
      <c r="B36" s="217">
        <v>2870</v>
      </c>
      <c r="C36" s="199">
        <v>2870</v>
      </c>
      <c r="D36" s="199">
        <v>2870</v>
      </c>
      <c r="E36" s="199">
        <v>2870</v>
      </c>
      <c r="F36" s="199">
        <v>2870</v>
      </c>
      <c r="G36" s="217">
        <v>2870</v>
      </c>
      <c r="H36" s="199">
        <v>2870</v>
      </c>
      <c r="I36" s="199">
        <v>2870</v>
      </c>
      <c r="J36" s="199">
        <v>2870</v>
      </c>
      <c r="K36" s="199">
        <v>2870</v>
      </c>
      <c r="L36" s="199">
        <v>2870</v>
      </c>
      <c r="M36" s="199">
        <v>2870</v>
      </c>
      <c r="N36" s="199">
        <v>2870</v>
      </c>
      <c r="O36" s="200">
        <f>SUM(B36:N36)</f>
        <v>37310</v>
      </c>
      <c r="P36" s="159"/>
      <c r="Q36" s="168"/>
      <c r="R36" s="147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51"/>
      <c r="AE36" s="168"/>
      <c r="AF36" s="168"/>
      <c r="AG36" s="168"/>
      <c r="AH36" s="151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8"/>
      <c r="BQ36" s="168"/>
      <c r="BR36" s="168"/>
    </row>
    <row r="37" spans="1:70" s="152" customFormat="1" x14ac:dyDescent="0.35">
      <c r="A37" s="187" t="s">
        <v>20</v>
      </c>
      <c r="B37" s="218">
        <f>'housing proportion projections'!I16</f>
        <v>112.33585858585859</v>
      </c>
      <c r="C37" s="218">
        <f>'housing proportion projections'!J16</f>
        <v>112.33585858585859</v>
      </c>
      <c r="D37" s="218">
        <f>'housing proportion projections'!K16</f>
        <v>112.33585858585859</v>
      </c>
      <c r="E37" s="218">
        <f>'housing proportion projections'!L16</f>
        <v>112.33585858585859</v>
      </c>
      <c r="F37" s="218">
        <f>'housing proportion projections'!M16</f>
        <v>112.33585858585859</v>
      </c>
      <c r="G37" s="218">
        <f>'housing proportion projections'!N16</f>
        <v>112.33585858585859</v>
      </c>
      <c r="H37" s="218">
        <f>'housing proportion projections'!O16</f>
        <v>112.33585858585859</v>
      </c>
      <c r="I37" s="218">
        <f>'housing proportion projections'!P16</f>
        <v>112.33585858585859</v>
      </c>
      <c r="J37" s="218">
        <f>'housing proportion projections'!Q16</f>
        <v>112.33585858585859</v>
      </c>
      <c r="K37" s="218">
        <f>'housing proportion projections'!R16</f>
        <v>112.33585858585859</v>
      </c>
      <c r="L37" s="218">
        <f>'housing proportion projections'!S16</f>
        <v>112.33585858585859</v>
      </c>
      <c r="M37" s="218">
        <f>'housing proportion projections'!T16</f>
        <v>112.33585858585859</v>
      </c>
      <c r="N37" s="218">
        <f>'housing proportion projections'!U16</f>
        <v>112.33585858585859</v>
      </c>
      <c r="O37" s="200">
        <f t="shared" ref="O37:O40" si="32">SUM(B37:N37)</f>
        <v>1460.3661616161617</v>
      </c>
      <c r="P37" s="159"/>
      <c r="Q37" s="168"/>
      <c r="R37" s="147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51"/>
      <c r="AE37" s="168"/>
      <c r="AF37" s="168"/>
      <c r="AG37" s="168"/>
      <c r="AH37" s="151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8"/>
      <c r="BQ37" s="168"/>
      <c r="BR37" s="168"/>
    </row>
    <row r="38" spans="1:70" s="158" customFormat="1" x14ac:dyDescent="0.35">
      <c r="A38" s="187" t="s">
        <v>21</v>
      </c>
      <c r="B38" s="218">
        <f>'housing proportion projections'!I17</f>
        <v>694.13314176245206</v>
      </c>
      <c r="C38" s="218">
        <f>'housing proportion projections'!J17</f>
        <v>694.13314176245206</v>
      </c>
      <c r="D38" s="218">
        <f>'housing proportion projections'!K17</f>
        <v>694.13314176245206</v>
      </c>
      <c r="E38" s="218">
        <f>'housing proportion projections'!L17</f>
        <v>694.13314176245206</v>
      </c>
      <c r="F38" s="218">
        <f>'housing proportion projections'!M17</f>
        <v>694.13314176245206</v>
      </c>
      <c r="G38" s="218">
        <f>'housing proportion projections'!N17</f>
        <v>694.13314176245206</v>
      </c>
      <c r="H38" s="218">
        <f>'housing proportion projections'!O17</f>
        <v>694.13314176245206</v>
      </c>
      <c r="I38" s="218">
        <f>'housing proportion projections'!P17</f>
        <v>694.13314176245206</v>
      </c>
      <c r="J38" s="218">
        <f>'housing proportion projections'!Q17</f>
        <v>694.13314176245206</v>
      </c>
      <c r="K38" s="218">
        <f>'housing proportion projections'!R17</f>
        <v>694.13314176245206</v>
      </c>
      <c r="L38" s="218">
        <f>'housing proportion projections'!S17</f>
        <v>694.13314176245206</v>
      </c>
      <c r="M38" s="218">
        <f>'housing proportion projections'!T17</f>
        <v>694.13314176245206</v>
      </c>
      <c r="N38" s="218">
        <f>'housing proportion projections'!U17</f>
        <v>694.13314176245206</v>
      </c>
      <c r="O38" s="200">
        <f t="shared" si="32"/>
        <v>9023.7308429118784</v>
      </c>
      <c r="P38" s="167"/>
      <c r="Q38" s="168"/>
      <c r="R38" s="147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51"/>
      <c r="AE38" s="168"/>
      <c r="AF38" s="168"/>
      <c r="AG38" s="168"/>
      <c r="AH38" s="151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8"/>
      <c r="BQ38" s="168"/>
      <c r="BR38" s="168"/>
    </row>
    <row r="39" spans="1:70" s="152" customFormat="1" ht="15" thickBot="1" x14ac:dyDescent="0.4">
      <c r="A39" s="187" t="s">
        <v>26</v>
      </c>
      <c r="B39" s="218">
        <f>'housing proportion projections'!I18</f>
        <v>999.02690700104483</v>
      </c>
      <c r="C39" s="218">
        <f>'housing proportion projections'!J18</f>
        <v>999.02690700104483</v>
      </c>
      <c r="D39" s="218">
        <f>'housing proportion projections'!K18</f>
        <v>999.02690700104483</v>
      </c>
      <c r="E39" s="218">
        <f>'housing proportion projections'!L18</f>
        <v>999.02690700104483</v>
      </c>
      <c r="F39" s="218">
        <f>'housing proportion projections'!M18</f>
        <v>999.02690700104483</v>
      </c>
      <c r="G39" s="218">
        <f>'housing proportion projections'!N18</f>
        <v>999.02690700104483</v>
      </c>
      <c r="H39" s="218">
        <f>'housing proportion projections'!O18</f>
        <v>999.02690700104483</v>
      </c>
      <c r="I39" s="218">
        <f>'housing proportion projections'!P18</f>
        <v>999.02690700104483</v>
      </c>
      <c r="J39" s="218">
        <f>'housing proportion projections'!Q18</f>
        <v>999.02690700104483</v>
      </c>
      <c r="K39" s="218">
        <f>'housing proportion projections'!R18</f>
        <v>999.02690700104483</v>
      </c>
      <c r="L39" s="218">
        <f>'housing proportion projections'!S18</f>
        <v>999.02690700104483</v>
      </c>
      <c r="M39" s="218">
        <f>'housing proportion projections'!T18</f>
        <v>999.02690700104483</v>
      </c>
      <c r="N39" s="218">
        <f>'housing proportion projections'!U18</f>
        <v>999.02690700104483</v>
      </c>
      <c r="O39" s="200">
        <f t="shared" si="32"/>
        <v>12987.349791013585</v>
      </c>
      <c r="P39" s="159"/>
      <c r="Q39" s="168"/>
      <c r="R39" s="147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51"/>
      <c r="AE39" s="168"/>
      <c r="AF39" s="168"/>
      <c r="AG39" s="168"/>
      <c r="AH39" s="151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68"/>
      <c r="BJ39" s="168"/>
      <c r="BK39" s="168"/>
      <c r="BL39" s="168"/>
      <c r="BM39" s="168"/>
      <c r="BN39" s="168"/>
      <c r="BO39" s="168"/>
      <c r="BP39" s="168"/>
      <c r="BQ39" s="168"/>
      <c r="BR39" s="168"/>
    </row>
    <row r="40" spans="1:70" s="156" customFormat="1" x14ac:dyDescent="0.35">
      <c r="A40" s="190" t="s">
        <v>22</v>
      </c>
      <c r="B40" s="218">
        <f>'housing proportion projections'!I19</f>
        <v>1064.6290491118077</v>
      </c>
      <c r="C40" s="218">
        <f>'housing proportion projections'!J19</f>
        <v>1064.6290491118077</v>
      </c>
      <c r="D40" s="218">
        <f>'housing proportion projections'!K19</f>
        <v>1064.6290491118077</v>
      </c>
      <c r="E40" s="218">
        <f>'housing proportion projections'!L19</f>
        <v>1064.6290491118077</v>
      </c>
      <c r="F40" s="218">
        <f>'housing proportion projections'!M19</f>
        <v>1064.6290491118077</v>
      </c>
      <c r="G40" s="218">
        <f>'housing proportion projections'!N19</f>
        <v>1064.6290491118077</v>
      </c>
      <c r="H40" s="218">
        <f>'housing proportion projections'!O19</f>
        <v>1064.6290491118077</v>
      </c>
      <c r="I40" s="218">
        <f>'housing proportion projections'!P19</f>
        <v>1064.6290491118077</v>
      </c>
      <c r="J40" s="218">
        <f>'housing proportion projections'!Q19</f>
        <v>1064.6290491118077</v>
      </c>
      <c r="K40" s="218">
        <f>'housing proportion projections'!R19</f>
        <v>1064.6290491118077</v>
      </c>
      <c r="L40" s="218">
        <f>'housing proportion projections'!S19</f>
        <v>1064.6290491118077</v>
      </c>
      <c r="M40" s="218">
        <f>'housing proportion projections'!T19</f>
        <v>1064.6290491118077</v>
      </c>
      <c r="N40" s="218">
        <f>'housing proportion projections'!U19</f>
        <v>1064.6290491118077</v>
      </c>
      <c r="O40" s="200">
        <f t="shared" si="32"/>
        <v>13840.177638453497</v>
      </c>
      <c r="P40" s="161"/>
      <c r="Q40" s="168"/>
      <c r="R40" s="147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51"/>
      <c r="AE40" s="168"/>
      <c r="AF40" s="168"/>
      <c r="AG40" s="168"/>
      <c r="AH40" s="151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8"/>
      <c r="BC40" s="168"/>
      <c r="BD40" s="168"/>
      <c r="BE40" s="168"/>
      <c r="BF40" s="168"/>
      <c r="BG40" s="168"/>
      <c r="BH40" s="168"/>
      <c r="BI40" s="168"/>
      <c r="BJ40" s="168"/>
      <c r="BK40" s="168"/>
      <c r="BL40" s="168"/>
      <c r="BM40" s="168"/>
      <c r="BN40" s="168"/>
      <c r="BO40" s="168"/>
      <c r="BP40" s="168"/>
      <c r="BQ40" s="168"/>
      <c r="BR40" s="168"/>
    </row>
    <row r="41" spans="1:70" s="155" customFormat="1" ht="15" thickBot="1" x14ac:dyDescent="0.4">
      <c r="A41" s="179"/>
      <c r="B41" s="212"/>
      <c r="C41" s="179"/>
      <c r="D41" s="179"/>
      <c r="E41" s="179"/>
      <c r="F41" s="179"/>
      <c r="G41" s="212"/>
      <c r="H41" s="179"/>
      <c r="I41" s="179"/>
      <c r="J41" s="179"/>
      <c r="K41" s="179"/>
      <c r="L41" s="179"/>
      <c r="M41" s="179"/>
      <c r="N41" s="179"/>
      <c r="O41" s="179"/>
      <c r="P41" s="162"/>
      <c r="Q41" s="168"/>
      <c r="R41" s="147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51"/>
      <c r="AE41" s="168"/>
      <c r="AF41" s="168"/>
      <c r="AG41" s="168"/>
      <c r="AH41" s="151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68"/>
      <c r="BD41" s="168"/>
      <c r="BE41" s="168"/>
      <c r="BF41" s="168"/>
      <c r="BG41" s="168"/>
      <c r="BH41" s="168"/>
      <c r="BI41" s="168"/>
      <c r="BJ41" s="168"/>
      <c r="BK41" s="168"/>
      <c r="BL41" s="168"/>
      <c r="BM41" s="168"/>
      <c r="BN41" s="168"/>
      <c r="BO41" s="168"/>
      <c r="BP41" s="168"/>
      <c r="BQ41" s="168"/>
      <c r="BR41" s="168"/>
    </row>
    <row r="42" spans="1:70" s="155" customFormat="1" x14ac:dyDescent="0.35">
      <c r="A42" s="191" t="s">
        <v>134</v>
      </c>
      <c r="B42" s="213"/>
      <c r="C42" s="192"/>
      <c r="D42" s="192"/>
      <c r="E42" s="192"/>
      <c r="F42" s="192"/>
      <c r="G42" s="213"/>
      <c r="H42" s="192"/>
      <c r="I42" s="192"/>
      <c r="J42" s="192"/>
      <c r="K42" s="192"/>
      <c r="L42" s="192"/>
      <c r="M42" s="192"/>
      <c r="N42" s="192"/>
      <c r="O42" s="192"/>
      <c r="P42" s="163"/>
      <c r="Q42" s="168"/>
      <c r="R42" s="147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51"/>
      <c r="AE42" s="168"/>
      <c r="AF42" s="168"/>
      <c r="AG42" s="168"/>
      <c r="AH42" s="151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68"/>
      <c r="BD42" s="168"/>
      <c r="BE42" s="168"/>
      <c r="BF42" s="168"/>
      <c r="BG42" s="168"/>
      <c r="BH42" s="168"/>
      <c r="BI42" s="168"/>
      <c r="BJ42" s="168"/>
      <c r="BK42" s="168"/>
      <c r="BL42" s="168"/>
      <c r="BM42" s="168"/>
      <c r="BN42" s="168"/>
      <c r="BO42" s="168"/>
      <c r="BP42" s="168"/>
      <c r="BQ42" s="168"/>
      <c r="BR42" s="168"/>
    </row>
    <row r="43" spans="1:70" s="155" customFormat="1" x14ac:dyDescent="0.35">
      <c r="A43" s="193" t="s">
        <v>112</v>
      </c>
      <c r="B43" s="214">
        <f>30*((B37*$AF$17)+(B38*$AF$18)+(B39*$AF$19)+(B40*$AF$20))+'scenario 1'!B43</f>
        <v>54078461.135148674</v>
      </c>
      <c r="C43" s="214">
        <f>30*((C37*$AF$17)+(C38*$AF$18)+(C39*$AF$19)+(C40*$AF$20))+'scenario 1'!C43</f>
        <v>54078461.135148674</v>
      </c>
      <c r="D43" s="214">
        <f>30*((D37*$AF$17)+(D38*$AF$18)+(D39*$AF$19)+(D40*$AF$20))+'scenario 1'!D43</f>
        <v>54078461.135148674</v>
      </c>
      <c r="E43" s="214">
        <f>30*((E37*$AF$17)+(E38*$AF$18)+(E39*$AF$19)+(E40*$AF$20))+'scenario 1'!E43</f>
        <v>54078461.135148674</v>
      </c>
      <c r="F43" s="214">
        <f>30*((F37*$AF$17)+(F38*$AF$18)+(F39*$AF$19)+(F40*$AF$20))+'scenario 1'!F43</f>
        <v>54078461.135148674</v>
      </c>
      <c r="G43" s="214">
        <f>30*((G37*$AJ$17)+(G38*$AJ$18)+(G39*$AJ$19)+(G40*$AJ$20))+'scenario 1'!G43</f>
        <v>44316912.940146558</v>
      </c>
      <c r="H43" s="214">
        <f>30*((H37*$AJ$17)+(H38*$AJ$18)+(H39*$AJ$19)+(H40*$AJ$20))+'scenario 1'!H43</f>
        <v>44316912.940146558</v>
      </c>
      <c r="I43" s="214">
        <f>30*((I37*$AJ$17)+(I38*$AJ$18)+(I39*$AJ$19)+(I40*$AJ$20))+'scenario 1'!I43</f>
        <v>44316912.940146558</v>
      </c>
      <c r="J43" s="214">
        <f>30*((J37*$AJ$17)+(J38*$AJ$18)+(J39*$AJ$19)+(J40*$AJ$20))+'scenario 1'!J43</f>
        <v>44316912.940146558</v>
      </c>
      <c r="K43" s="214">
        <f>30*((K37*$AJ$17)+(K38*$AJ$18)+(K39*$AJ$19)+(K40*$AJ$20))+'scenario 1'!K43</f>
        <v>44316912.940146558</v>
      </c>
      <c r="L43" s="214">
        <f>30*((L37*$AJ$17)+(L38*$AJ$18)+(L39*$AJ$19)+(L40*$AJ$20))+'scenario 1'!L43</f>
        <v>44316912.940146558</v>
      </c>
      <c r="M43" s="214">
        <f>30*((M37*$AJ$17)+(M38*$AJ$18)+(M39*$AJ$19)+(M40*$AJ$20))+'scenario 1'!M43</f>
        <v>44316912.940146558</v>
      </c>
      <c r="N43" s="214">
        <f>30*((N37*$AJ$17)+(N38*$AJ$18)+(N39*$AJ$19)+(N40*$AJ$20))+'scenario 1'!N43</f>
        <v>44316912.940146558</v>
      </c>
      <c r="O43" s="214">
        <f>SUM(B43:N43)</f>
        <v>624927609.19691586</v>
      </c>
      <c r="P43" s="162"/>
      <c r="Q43" s="168"/>
      <c r="R43" s="147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51"/>
      <c r="AE43" s="168"/>
      <c r="AF43" s="168"/>
      <c r="AG43" s="168"/>
      <c r="AH43" s="151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68"/>
      <c r="BD43" s="168"/>
      <c r="BE43" s="168"/>
      <c r="BF43" s="168"/>
      <c r="BG43" s="168"/>
      <c r="BH43" s="168"/>
      <c r="BI43" s="168"/>
      <c r="BJ43" s="168"/>
      <c r="BK43" s="168"/>
      <c r="BL43" s="168"/>
      <c r="BM43" s="168"/>
      <c r="BN43" s="168"/>
      <c r="BO43" s="168"/>
      <c r="BP43" s="168"/>
      <c r="BQ43" s="168"/>
      <c r="BR43" s="168"/>
    </row>
    <row r="44" spans="1:70" s="157" customFormat="1" ht="15" thickBot="1" x14ac:dyDescent="0.4">
      <c r="A44" s="193" t="s">
        <v>113</v>
      </c>
      <c r="B44" s="214">
        <f t="shared" ref="B44" si="33">B43/1000</f>
        <v>54078.461135148675</v>
      </c>
      <c r="C44" s="214">
        <f t="shared" ref="C44" si="34">C43/1000</f>
        <v>54078.461135148675</v>
      </c>
      <c r="D44" s="214">
        <f t="shared" ref="D44" si="35">D43/1000</f>
        <v>54078.461135148675</v>
      </c>
      <c r="E44" s="214">
        <f t="shared" ref="E44" si="36">E43/1000</f>
        <v>54078.461135148675</v>
      </c>
      <c r="F44" s="214">
        <f t="shared" ref="F44" si="37">F43/1000</f>
        <v>54078.461135148675</v>
      </c>
      <c r="G44" s="214">
        <f t="shared" ref="G44" si="38">G43/1000</f>
        <v>44316.912940146562</v>
      </c>
      <c r="H44" s="214">
        <f t="shared" ref="H44" si="39">H43/1000</f>
        <v>44316.912940146562</v>
      </c>
      <c r="I44" s="214">
        <f t="shared" ref="I44" si="40">I43/1000</f>
        <v>44316.912940146562</v>
      </c>
      <c r="J44" s="214">
        <f t="shared" ref="J44" si="41">J43/1000</f>
        <v>44316.912940146562</v>
      </c>
      <c r="K44" s="214">
        <f t="shared" ref="K44" si="42">K43/1000</f>
        <v>44316.912940146562</v>
      </c>
      <c r="L44" s="214">
        <f t="shared" ref="L44" si="43">L43/1000</f>
        <v>44316.912940146562</v>
      </c>
      <c r="M44" s="214">
        <f t="shared" ref="M44" si="44">M43/1000</f>
        <v>44316.912940146562</v>
      </c>
      <c r="N44" s="214">
        <f t="shared" ref="N44" si="45">N43/1000</f>
        <v>44316.912940146562</v>
      </c>
      <c r="O44" s="214">
        <f t="shared" ref="O44" si="46">O43/1000</f>
        <v>624927.60919691587</v>
      </c>
      <c r="P44" s="164"/>
      <c r="Q44" s="168"/>
      <c r="R44" s="147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51"/>
      <c r="AE44" s="168"/>
      <c r="AF44" s="168"/>
      <c r="AG44" s="168"/>
      <c r="AH44" s="151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</row>
    <row r="45" spans="1:70" s="152" customFormat="1" x14ac:dyDescent="0.35">
      <c r="A45" s="193" t="s">
        <v>64</v>
      </c>
      <c r="B45" s="215">
        <f>B44*$AB$3</f>
        <v>10815692.227029735</v>
      </c>
      <c r="C45" s="215">
        <f t="shared" ref="C45" si="47">C44*$AB$3</f>
        <v>10815692.227029735</v>
      </c>
      <c r="D45" s="215">
        <f t="shared" ref="D45" si="48">D44*$AB$3</f>
        <v>10815692.227029735</v>
      </c>
      <c r="E45" s="215">
        <f t="shared" ref="E45" si="49">E44*$AB$3</f>
        <v>10815692.227029735</v>
      </c>
      <c r="F45" s="215">
        <f t="shared" ref="F45" si="50">F44*$AB$3</f>
        <v>10815692.227029735</v>
      </c>
      <c r="G45" s="215">
        <f t="shared" ref="G45" si="51">G44*$AB$3</f>
        <v>8863382.588029312</v>
      </c>
      <c r="H45" s="215">
        <f t="shared" ref="H45" si="52">H44*$AB$3</f>
        <v>8863382.588029312</v>
      </c>
      <c r="I45" s="215">
        <f t="shared" ref="I45" si="53">I44*$AB$3</f>
        <v>8863382.588029312</v>
      </c>
      <c r="J45" s="215">
        <f t="shared" ref="J45" si="54">J44*$AB$3</f>
        <v>8863382.588029312</v>
      </c>
      <c r="K45" s="215">
        <f t="shared" ref="K45" si="55">K44*$AB$3</f>
        <v>8863382.588029312</v>
      </c>
      <c r="L45" s="215">
        <f t="shared" ref="L45" si="56">L44*$AB$3</f>
        <v>8863382.588029312</v>
      </c>
      <c r="M45" s="215">
        <f t="shared" ref="M45" si="57">M44*$AB$3</f>
        <v>8863382.588029312</v>
      </c>
      <c r="N45" s="215">
        <f t="shared" ref="N45" si="58">N44*$AB$3</f>
        <v>8863382.588029312</v>
      </c>
      <c r="O45" s="215">
        <f t="shared" ref="O45" si="59">O44*$AB$3</f>
        <v>124985521.83938317</v>
      </c>
      <c r="P45" s="159"/>
      <c r="Q45" s="168"/>
      <c r="R45" s="147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51"/>
      <c r="AE45" s="168"/>
      <c r="AF45" s="168"/>
      <c r="AG45" s="168"/>
      <c r="AH45" s="151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8"/>
      <c r="BC45" s="168"/>
      <c r="BD45" s="168"/>
      <c r="BE45" s="168"/>
      <c r="BF45" s="168"/>
      <c r="BG45" s="168"/>
      <c r="BH45" s="168"/>
      <c r="BI45" s="168"/>
      <c r="BJ45" s="168"/>
      <c r="BK45" s="168"/>
      <c r="BL45" s="168"/>
      <c r="BM45" s="168"/>
      <c r="BN45" s="168"/>
      <c r="BO45" s="168"/>
      <c r="BP45" s="168"/>
      <c r="BQ45" s="168"/>
      <c r="BR45" s="168"/>
    </row>
    <row r="46" spans="1:70" s="152" customFormat="1" x14ac:dyDescent="0.35">
      <c r="A46" s="193"/>
      <c r="B46" s="214"/>
      <c r="C46" s="194"/>
      <c r="D46" s="194"/>
      <c r="E46" s="194"/>
      <c r="F46" s="194"/>
      <c r="G46" s="214"/>
      <c r="H46" s="194"/>
      <c r="I46" s="194"/>
      <c r="J46" s="194"/>
      <c r="K46" s="194"/>
      <c r="L46" s="194"/>
      <c r="M46" s="194"/>
      <c r="N46" s="194"/>
      <c r="O46" s="194"/>
      <c r="P46" s="159"/>
      <c r="Q46" s="168"/>
      <c r="R46" s="147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51"/>
      <c r="AE46" s="168"/>
      <c r="AF46" s="168"/>
      <c r="AG46" s="168"/>
      <c r="AH46" s="151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8"/>
      <c r="BQ46" s="168"/>
      <c r="BR46" s="168"/>
    </row>
    <row r="47" spans="1:70" s="152" customFormat="1" ht="15" thickBot="1" x14ac:dyDescent="0.4">
      <c r="A47" s="197"/>
      <c r="B47" s="216"/>
      <c r="C47" s="198"/>
      <c r="D47" s="198"/>
      <c r="E47" s="198"/>
      <c r="F47" s="198"/>
      <c r="G47" s="216"/>
      <c r="H47" s="198"/>
      <c r="I47" s="198"/>
      <c r="J47" s="198"/>
      <c r="K47" s="198"/>
      <c r="L47" s="198"/>
      <c r="M47" s="198"/>
      <c r="N47" s="198"/>
      <c r="O47" s="198"/>
      <c r="P47" s="159"/>
      <c r="Q47" s="168"/>
      <c r="R47" s="147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51"/>
      <c r="AE47" s="168"/>
      <c r="AF47" s="168"/>
      <c r="AG47" s="168"/>
      <c r="AH47" s="151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168"/>
      <c r="AT47" s="168"/>
      <c r="AU47" s="168"/>
      <c r="AV47" s="168"/>
      <c r="AW47" s="168"/>
      <c r="AX47" s="168"/>
      <c r="AY47" s="168"/>
      <c r="AZ47" s="168"/>
      <c r="BA47" s="168"/>
      <c r="BB47" s="168"/>
      <c r="BC47" s="168"/>
      <c r="BD47" s="168"/>
      <c r="BE47" s="168"/>
      <c r="BF47" s="168"/>
      <c r="BG47" s="168"/>
      <c r="BH47" s="168"/>
      <c r="BI47" s="168"/>
      <c r="BJ47" s="168"/>
      <c r="BK47" s="168"/>
      <c r="BL47" s="168"/>
      <c r="BM47" s="168"/>
      <c r="BN47" s="168"/>
      <c r="BO47" s="168"/>
      <c r="BP47" s="168"/>
      <c r="BQ47" s="168"/>
      <c r="BR47" s="168"/>
    </row>
    <row r="48" spans="1:70" s="152" customFormat="1" x14ac:dyDescent="0.35">
      <c r="A48" s="154"/>
      <c r="B48" s="212"/>
      <c r="C48" s="179"/>
      <c r="D48" s="179"/>
      <c r="E48" s="179"/>
      <c r="F48" s="179"/>
      <c r="G48" s="212"/>
      <c r="H48" s="179"/>
      <c r="I48" s="179"/>
      <c r="J48" s="179"/>
      <c r="K48" s="179"/>
      <c r="L48" s="179"/>
      <c r="M48" s="179"/>
      <c r="N48" s="179"/>
      <c r="O48" s="179"/>
      <c r="P48" s="160"/>
      <c r="Q48" s="168"/>
      <c r="R48" s="147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51"/>
      <c r="AE48" s="168"/>
      <c r="AF48" s="168"/>
      <c r="AG48" s="168"/>
      <c r="AH48" s="151"/>
      <c r="AI48" s="168"/>
      <c r="AJ48" s="168"/>
      <c r="AK48" s="168"/>
      <c r="AL48" s="168"/>
      <c r="AM48" s="168"/>
      <c r="AN48" s="168"/>
      <c r="AO48" s="168"/>
      <c r="AP48" s="168"/>
      <c r="AQ48" s="168"/>
      <c r="AR48" s="168"/>
      <c r="AS48" s="168"/>
      <c r="AT48" s="168"/>
      <c r="AU48" s="168"/>
      <c r="AV48" s="168"/>
      <c r="AW48" s="168"/>
      <c r="AX48" s="168"/>
      <c r="AY48" s="168"/>
      <c r="AZ48" s="168"/>
      <c r="BA48" s="168"/>
      <c r="BB48" s="168"/>
      <c r="BC48" s="168"/>
      <c r="BD48" s="168"/>
      <c r="BE48" s="168"/>
      <c r="BF48" s="168"/>
      <c r="BG48" s="168"/>
      <c r="BH48" s="168"/>
      <c r="BI48" s="168"/>
      <c r="BJ48" s="168"/>
      <c r="BK48" s="168"/>
      <c r="BL48" s="168"/>
      <c r="BM48" s="168"/>
      <c r="BN48" s="168"/>
      <c r="BO48" s="168"/>
      <c r="BP48" s="168"/>
      <c r="BQ48" s="168"/>
      <c r="BR48" s="168"/>
    </row>
    <row r="49" spans="1:70" s="152" customFormat="1" x14ac:dyDescent="0.35">
      <c r="A49" s="204"/>
      <c r="B49" s="212"/>
      <c r="C49" s="179"/>
      <c r="D49" s="179"/>
      <c r="E49" s="179"/>
      <c r="F49" s="179"/>
      <c r="G49" s="212"/>
      <c r="H49" s="179"/>
      <c r="I49" s="179"/>
      <c r="J49" s="179"/>
      <c r="K49" s="179"/>
      <c r="L49" s="179"/>
      <c r="M49" s="179"/>
      <c r="N49" s="179"/>
      <c r="O49" s="179"/>
      <c r="P49" s="159"/>
      <c r="Q49" s="168"/>
      <c r="R49" s="147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51"/>
      <c r="AE49" s="168"/>
      <c r="AF49" s="168"/>
      <c r="AG49" s="168"/>
      <c r="AH49" s="151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8"/>
      <c r="BR49" s="168"/>
    </row>
    <row r="50" spans="1:70" s="152" customFormat="1" x14ac:dyDescent="0.35">
      <c r="A50" s="180" t="s">
        <v>0</v>
      </c>
      <c r="B50" s="209" t="s">
        <v>7</v>
      </c>
      <c r="C50" s="182" t="s">
        <v>8</v>
      </c>
      <c r="D50" s="182" t="s">
        <v>9</v>
      </c>
      <c r="E50" s="182" t="s">
        <v>10</v>
      </c>
      <c r="F50" s="182" t="s">
        <v>11</v>
      </c>
      <c r="G50" s="209" t="s">
        <v>12</v>
      </c>
      <c r="H50" s="182" t="s">
        <v>13</v>
      </c>
      <c r="I50" s="182" t="s">
        <v>14</v>
      </c>
      <c r="J50" s="182" t="s">
        <v>15</v>
      </c>
      <c r="K50" s="182" t="s">
        <v>16</v>
      </c>
      <c r="L50" s="183" t="s">
        <v>17</v>
      </c>
      <c r="M50" s="184" t="s">
        <v>23</v>
      </c>
      <c r="N50" s="184" t="s">
        <v>24</v>
      </c>
      <c r="O50" s="185" t="s">
        <v>18</v>
      </c>
      <c r="P50" s="159"/>
      <c r="Q50" s="168"/>
      <c r="R50" s="147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51"/>
      <c r="AE50" s="168"/>
      <c r="AF50" s="168"/>
      <c r="AG50" s="168"/>
      <c r="AH50" s="151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68"/>
      <c r="BB50" s="168"/>
      <c r="BC50" s="168"/>
      <c r="BD50" s="168"/>
      <c r="BE50" s="168"/>
      <c r="BF50" s="168"/>
      <c r="BG50" s="168"/>
      <c r="BH50" s="168"/>
      <c r="BI50" s="168"/>
      <c r="BJ50" s="168"/>
      <c r="BK50" s="168"/>
      <c r="BL50" s="168"/>
      <c r="BM50" s="168"/>
      <c r="BN50" s="168"/>
      <c r="BO50" s="168"/>
      <c r="BP50" s="168"/>
      <c r="BQ50" s="168"/>
      <c r="BR50" s="168"/>
    </row>
    <row r="51" spans="1:70" s="152" customFormat="1" x14ac:dyDescent="0.35">
      <c r="A51" s="154" t="s">
        <v>29</v>
      </c>
      <c r="B51" s="217">
        <v>752</v>
      </c>
      <c r="C51" s="199">
        <v>752</v>
      </c>
      <c r="D51" s="199">
        <v>752</v>
      </c>
      <c r="E51" s="199">
        <v>752</v>
      </c>
      <c r="F51" s="199">
        <v>752</v>
      </c>
      <c r="G51" s="217">
        <v>752</v>
      </c>
      <c r="H51" s="199">
        <v>752</v>
      </c>
      <c r="I51" s="199">
        <v>752</v>
      </c>
      <c r="J51" s="199">
        <v>752</v>
      </c>
      <c r="K51" s="199">
        <v>752</v>
      </c>
      <c r="L51" s="199">
        <v>752</v>
      </c>
      <c r="M51" s="199">
        <v>752</v>
      </c>
      <c r="N51" s="199">
        <v>752</v>
      </c>
      <c r="O51" s="200">
        <f>SUM(B51:N51)</f>
        <v>9776</v>
      </c>
      <c r="P51" s="159"/>
      <c r="Q51" s="168"/>
      <c r="R51" s="147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51"/>
      <c r="AE51" s="168"/>
      <c r="AF51" s="168"/>
      <c r="AG51" s="168"/>
      <c r="AH51" s="151"/>
      <c r="AI51" s="168"/>
      <c r="AJ51" s="168"/>
      <c r="AK51" s="168"/>
      <c r="AL51" s="168"/>
      <c r="AM51" s="168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  <c r="BP51" s="168"/>
      <c r="BQ51" s="168"/>
      <c r="BR51" s="168"/>
    </row>
    <row r="52" spans="1:70" s="158" customFormat="1" x14ac:dyDescent="0.35">
      <c r="A52" s="187" t="s">
        <v>20</v>
      </c>
      <c r="B52" s="218">
        <f>'housing proportion projections'!I21</f>
        <v>138.12725942952667</v>
      </c>
      <c r="C52" s="218">
        <f>'housing proportion projections'!J21</f>
        <v>138.12725942952667</v>
      </c>
      <c r="D52" s="218">
        <f>'housing proportion projections'!K21</f>
        <v>138.12725942952667</v>
      </c>
      <c r="E52" s="218">
        <f>'housing proportion projections'!L21</f>
        <v>138.12725942952667</v>
      </c>
      <c r="F52" s="218">
        <f>'housing proportion projections'!M21</f>
        <v>138.12725942952667</v>
      </c>
      <c r="G52" s="218">
        <f>'housing proportion projections'!N21</f>
        <v>138.12725942952667</v>
      </c>
      <c r="H52" s="218">
        <f>'housing proportion projections'!O21</f>
        <v>138.12725942952667</v>
      </c>
      <c r="I52" s="218">
        <f>'housing proportion projections'!P21</f>
        <v>138.12725942952667</v>
      </c>
      <c r="J52" s="218">
        <f>'housing proportion projections'!Q21</f>
        <v>138.12725942952667</v>
      </c>
      <c r="K52" s="218">
        <f>'housing proportion projections'!R21</f>
        <v>138.12725942952667</v>
      </c>
      <c r="L52" s="218">
        <f>'housing proportion projections'!S21</f>
        <v>138.12725942952667</v>
      </c>
      <c r="M52" s="218">
        <f>'housing proportion projections'!T21</f>
        <v>138.12725942952667</v>
      </c>
      <c r="N52" s="218">
        <f>'housing proportion projections'!U21</f>
        <v>138.12725942952667</v>
      </c>
      <c r="O52" s="200">
        <f t="shared" ref="O52:O55" si="60">SUM(B52:N52)</f>
        <v>1795.6543725838469</v>
      </c>
      <c r="P52" s="167"/>
      <c r="Q52" s="168"/>
      <c r="R52" s="147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51"/>
      <c r="AE52" s="168"/>
      <c r="AF52" s="168"/>
      <c r="AG52" s="168"/>
      <c r="AH52" s="151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8"/>
      <c r="BQ52" s="168"/>
      <c r="BR52" s="168"/>
    </row>
    <row r="53" spans="1:70" s="152" customFormat="1" ht="15.75" customHeight="1" thickBot="1" x14ac:dyDescent="0.4">
      <c r="A53" s="187" t="s">
        <v>21</v>
      </c>
      <c r="B53" s="218">
        <f>'housing proportion projections'!I22</f>
        <v>183.85539651029151</v>
      </c>
      <c r="C53" s="218">
        <f>'housing proportion projections'!J22</f>
        <v>183.85539651029151</v>
      </c>
      <c r="D53" s="218">
        <f>'housing proportion projections'!K22</f>
        <v>183.85539651029151</v>
      </c>
      <c r="E53" s="218">
        <f>'housing proportion projections'!L22</f>
        <v>183.85539651029151</v>
      </c>
      <c r="F53" s="218">
        <f>'housing proportion projections'!M22</f>
        <v>183.85539651029151</v>
      </c>
      <c r="G53" s="218">
        <f>'housing proportion projections'!N22</f>
        <v>183.85539651029151</v>
      </c>
      <c r="H53" s="218">
        <f>'housing proportion projections'!O22</f>
        <v>183.85539651029151</v>
      </c>
      <c r="I53" s="218">
        <f>'housing proportion projections'!P22</f>
        <v>183.85539651029151</v>
      </c>
      <c r="J53" s="218">
        <f>'housing proportion projections'!Q22</f>
        <v>183.85539651029151</v>
      </c>
      <c r="K53" s="218">
        <f>'housing proportion projections'!R22</f>
        <v>183.85539651029151</v>
      </c>
      <c r="L53" s="218">
        <f>'housing proportion projections'!S22</f>
        <v>183.85539651029151</v>
      </c>
      <c r="M53" s="218">
        <f>'housing proportion projections'!T22</f>
        <v>183.85539651029151</v>
      </c>
      <c r="N53" s="218">
        <f>'housing proportion projections'!U22</f>
        <v>183.85539651029151</v>
      </c>
      <c r="O53" s="200">
        <f t="shared" si="60"/>
        <v>2390.1201546337898</v>
      </c>
      <c r="P53" s="159"/>
      <c r="Q53" s="168"/>
      <c r="R53" s="147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51"/>
      <c r="AE53" s="168"/>
      <c r="AF53" s="168"/>
      <c r="AG53" s="168"/>
      <c r="AH53" s="151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8"/>
      <c r="BQ53" s="168"/>
      <c r="BR53" s="168"/>
    </row>
    <row r="54" spans="1:70" s="156" customFormat="1" x14ac:dyDescent="0.35">
      <c r="A54" s="187" t="s">
        <v>26</v>
      </c>
      <c r="B54" s="218">
        <f>'housing proportion projections'!I23</f>
        <v>333.06112213979731</v>
      </c>
      <c r="C54" s="218">
        <f>'housing proportion projections'!J23</f>
        <v>333.06112213979731</v>
      </c>
      <c r="D54" s="218">
        <f>'housing proportion projections'!K23</f>
        <v>333.06112213979731</v>
      </c>
      <c r="E54" s="218">
        <f>'housing proportion projections'!L23</f>
        <v>333.06112213979731</v>
      </c>
      <c r="F54" s="218">
        <f>'housing proportion projections'!M23</f>
        <v>333.06112213979731</v>
      </c>
      <c r="G54" s="218">
        <f>'housing proportion projections'!N23</f>
        <v>333.06112213979731</v>
      </c>
      <c r="H54" s="218">
        <f>'housing proportion projections'!O23</f>
        <v>333.06112213979731</v>
      </c>
      <c r="I54" s="218">
        <f>'housing proportion projections'!P23</f>
        <v>333.06112213979731</v>
      </c>
      <c r="J54" s="218">
        <f>'housing proportion projections'!Q23</f>
        <v>333.06112213979731</v>
      </c>
      <c r="K54" s="218">
        <f>'housing proportion projections'!R23</f>
        <v>333.06112213979731</v>
      </c>
      <c r="L54" s="218">
        <f>'housing proportion projections'!S23</f>
        <v>333.06112213979731</v>
      </c>
      <c r="M54" s="218">
        <f>'housing proportion projections'!T23</f>
        <v>333.06112213979731</v>
      </c>
      <c r="N54" s="218">
        <f>'housing proportion projections'!U23</f>
        <v>333.06112213979731</v>
      </c>
      <c r="O54" s="200">
        <f t="shared" si="60"/>
        <v>4329.7945878173641</v>
      </c>
      <c r="P54" s="161"/>
      <c r="Q54" s="168"/>
      <c r="R54" s="147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51"/>
      <c r="AE54" s="168"/>
      <c r="AF54" s="168"/>
      <c r="AG54" s="168"/>
      <c r="AH54" s="151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168"/>
      <c r="AT54" s="168"/>
      <c r="AU54" s="168"/>
      <c r="AV54" s="168"/>
      <c r="AW54" s="168"/>
      <c r="AX54" s="168"/>
      <c r="AY54" s="168"/>
      <c r="AZ54" s="168"/>
      <c r="BA54" s="168"/>
      <c r="BB54" s="168"/>
      <c r="BC54" s="168"/>
      <c r="BD54" s="168"/>
      <c r="BE54" s="168"/>
      <c r="BF54" s="168"/>
      <c r="BG54" s="168"/>
      <c r="BH54" s="168"/>
      <c r="BI54" s="168"/>
      <c r="BJ54" s="168"/>
      <c r="BK54" s="168"/>
      <c r="BL54" s="168"/>
      <c r="BM54" s="168"/>
      <c r="BN54" s="168"/>
      <c r="BO54" s="168"/>
      <c r="BP54" s="168"/>
      <c r="BQ54" s="168"/>
      <c r="BR54" s="168"/>
    </row>
    <row r="55" spans="1:70" s="155" customFormat="1" x14ac:dyDescent="0.35">
      <c r="A55" s="190" t="s">
        <v>22</v>
      </c>
      <c r="B55" s="218">
        <f>'housing proportion projections'!I24</f>
        <v>96.877651238115135</v>
      </c>
      <c r="C55" s="218">
        <f>'housing proportion projections'!J24</f>
        <v>96.877651238115135</v>
      </c>
      <c r="D55" s="218">
        <f>'housing proportion projections'!K24</f>
        <v>96.877651238115135</v>
      </c>
      <c r="E55" s="218">
        <f>'housing proportion projections'!L24</f>
        <v>96.877651238115135</v>
      </c>
      <c r="F55" s="218">
        <f>'housing proportion projections'!M24</f>
        <v>96.877651238115135</v>
      </c>
      <c r="G55" s="218">
        <f>'housing proportion projections'!N24</f>
        <v>96.877651238115135</v>
      </c>
      <c r="H55" s="218">
        <f>'housing proportion projections'!O24</f>
        <v>96.877651238115135</v>
      </c>
      <c r="I55" s="218">
        <f>'housing proportion projections'!P24</f>
        <v>96.877651238115135</v>
      </c>
      <c r="J55" s="218">
        <f>'housing proportion projections'!Q24</f>
        <v>96.877651238115135</v>
      </c>
      <c r="K55" s="218">
        <f>'housing proportion projections'!R24</f>
        <v>96.877651238115135</v>
      </c>
      <c r="L55" s="218">
        <f>'housing proportion projections'!S24</f>
        <v>96.877651238115135</v>
      </c>
      <c r="M55" s="218">
        <f>'housing proportion projections'!T24</f>
        <v>96.877651238115135</v>
      </c>
      <c r="N55" s="218">
        <f>'housing proportion projections'!U24</f>
        <v>96.877651238115135</v>
      </c>
      <c r="O55" s="200">
        <f t="shared" si="60"/>
        <v>1259.4094660954968</v>
      </c>
      <c r="P55" s="162"/>
      <c r="Q55" s="168"/>
      <c r="R55" s="147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51"/>
      <c r="AE55" s="168"/>
      <c r="AF55" s="168"/>
      <c r="AG55" s="168"/>
      <c r="AH55" s="151"/>
      <c r="AI55" s="168"/>
      <c r="AJ55" s="168"/>
      <c r="AK55" s="168"/>
      <c r="AL55" s="168"/>
      <c r="AM55" s="168"/>
      <c r="AN55" s="168"/>
      <c r="AO55" s="168"/>
      <c r="AP55" s="168"/>
      <c r="AQ55" s="168"/>
      <c r="AR55" s="168"/>
      <c r="AS55" s="168"/>
      <c r="AT55" s="168"/>
      <c r="AU55" s="168"/>
      <c r="AV55" s="168"/>
      <c r="AW55" s="168"/>
      <c r="AX55" s="168"/>
      <c r="AY55" s="168"/>
      <c r="AZ55" s="168"/>
      <c r="BA55" s="168"/>
      <c r="BB55" s="168"/>
      <c r="BC55" s="168"/>
      <c r="BD55" s="168"/>
      <c r="BE55" s="168"/>
      <c r="BF55" s="168"/>
      <c r="BG55" s="168"/>
      <c r="BH55" s="168"/>
      <c r="BI55" s="168"/>
      <c r="BJ55" s="168"/>
      <c r="BK55" s="168"/>
      <c r="BL55" s="168"/>
      <c r="BM55" s="168"/>
      <c r="BN55" s="168"/>
      <c r="BO55" s="168"/>
      <c r="BP55" s="168"/>
      <c r="BQ55" s="168"/>
      <c r="BR55" s="168"/>
    </row>
    <row r="56" spans="1:70" s="155" customFormat="1" ht="15" thickBot="1" x14ac:dyDescent="0.4">
      <c r="A56" s="179"/>
      <c r="B56" s="217"/>
      <c r="C56" s="199"/>
      <c r="D56" s="199"/>
      <c r="E56" s="199"/>
      <c r="F56" s="199"/>
      <c r="G56" s="217"/>
      <c r="H56" s="199"/>
      <c r="I56" s="199"/>
      <c r="J56" s="199"/>
      <c r="K56" s="199"/>
      <c r="L56" s="199"/>
      <c r="M56" s="199"/>
      <c r="N56" s="199"/>
      <c r="O56" s="200"/>
      <c r="P56" s="163"/>
      <c r="Q56" s="168"/>
      <c r="R56" s="147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51"/>
      <c r="AE56" s="168"/>
      <c r="AF56" s="168"/>
      <c r="AG56" s="168"/>
      <c r="AH56" s="151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168"/>
      <c r="AT56" s="168"/>
      <c r="AU56" s="168"/>
      <c r="AV56" s="168"/>
      <c r="AW56" s="168"/>
      <c r="AX56" s="168"/>
      <c r="AY56" s="168"/>
      <c r="AZ56" s="168"/>
      <c r="BA56" s="168"/>
      <c r="BB56" s="168"/>
      <c r="BC56" s="168"/>
      <c r="BD56" s="168"/>
      <c r="BE56" s="168"/>
      <c r="BF56" s="168"/>
      <c r="BG56" s="168"/>
      <c r="BH56" s="168"/>
      <c r="BI56" s="168"/>
      <c r="BJ56" s="168"/>
      <c r="BK56" s="168"/>
      <c r="BL56" s="168"/>
      <c r="BM56" s="168"/>
      <c r="BN56" s="168"/>
      <c r="BO56" s="168"/>
      <c r="BP56" s="168"/>
      <c r="BQ56" s="168"/>
      <c r="BR56" s="168"/>
    </row>
    <row r="57" spans="1:70" s="155" customFormat="1" x14ac:dyDescent="0.35">
      <c r="A57" s="191" t="s">
        <v>134</v>
      </c>
      <c r="B57" s="213"/>
      <c r="C57" s="192"/>
      <c r="D57" s="192"/>
      <c r="E57" s="192"/>
      <c r="F57" s="192"/>
      <c r="G57" s="213"/>
      <c r="H57" s="192"/>
      <c r="I57" s="192"/>
      <c r="J57" s="192"/>
      <c r="K57" s="192"/>
      <c r="L57" s="192"/>
      <c r="M57" s="192"/>
      <c r="N57" s="192"/>
      <c r="O57" s="192"/>
      <c r="P57" s="162"/>
      <c r="Q57" s="168"/>
      <c r="R57" s="147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51"/>
      <c r="AE57" s="168"/>
      <c r="AF57" s="168"/>
      <c r="AG57" s="168"/>
      <c r="AH57" s="151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168"/>
      <c r="AT57" s="168"/>
      <c r="AU57" s="168"/>
      <c r="AV57" s="168"/>
      <c r="AW57" s="168"/>
      <c r="AX57" s="168"/>
      <c r="AY57" s="168"/>
      <c r="AZ57" s="168"/>
      <c r="BA57" s="168"/>
      <c r="BB57" s="168"/>
      <c r="BC57" s="168"/>
      <c r="BD57" s="168"/>
      <c r="BE57" s="168"/>
      <c r="BF57" s="168"/>
      <c r="BG57" s="168"/>
      <c r="BH57" s="168"/>
      <c r="BI57" s="168"/>
      <c r="BJ57" s="168"/>
      <c r="BK57" s="168"/>
      <c r="BL57" s="168"/>
      <c r="BM57" s="168"/>
      <c r="BN57" s="168"/>
      <c r="BO57" s="168"/>
      <c r="BP57" s="168"/>
      <c r="BQ57" s="168"/>
      <c r="BR57" s="168"/>
    </row>
    <row r="58" spans="1:70" s="157" customFormat="1" ht="15" thickBot="1" x14ac:dyDescent="0.4">
      <c r="A58" s="193" t="s">
        <v>112</v>
      </c>
      <c r="B58" s="214">
        <f>30*((B52*$AF$17)+(B53*$AF$18)+(B54*$AF$19)+(B55*$AF$20))+'scenario 1'!B58</f>
        <v>15810097.36195826</v>
      </c>
      <c r="C58" s="214">
        <f>30*((C52*$AF$17)+(C53*$AF$18)+(C54*$AF$19)+(C55*$AF$20))+'scenario 1'!C58</f>
        <v>15810097.36195826</v>
      </c>
      <c r="D58" s="214">
        <f>30*((D52*$AF$17)+(D53*$AF$18)+(D54*$AF$19)+(D55*$AF$20))+'scenario 1'!D58</f>
        <v>15810097.36195826</v>
      </c>
      <c r="E58" s="214">
        <f>30*((E52*$AF$17)+(E53*$AF$18)+(E54*$AF$19)+(E55*$AF$20))+'scenario 1'!E58</f>
        <v>15810097.36195826</v>
      </c>
      <c r="F58" s="214">
        <f>30*((F52*$AF$17)+(F53*$AF$18)+(F54*$AF$19)+(F55*$AF$20))+'scenario 1'!F58</f>
        <v>15810097.36195826</v>
      </c>
      <c r="G58" s="214">
        <f>30*((G52*$AJ$17)+(G53*$AJ$18)+(G54*$AJ$19)+(G55*$AJ$20))+'scenario 1'!G58</f>
        <v>13019142.205954019</v>
      </c>
      <c r="H58" s="214">
        <f>30*((H52*$AJ$17)+(H53*$AJ$18)+(H54*$AJ$19)+(H55*$AJ$20))+'scenario 1'!H58</f>
        <v>13019142.205954019</v>
      </c>
      <c r="I58" s="214">
        <f>30*((I52*$AJ$17)+(I53*$AJ$18)+(I54*$AJ$19)+(I55*$AJ$20))+'scenario 1'!I58</f>
        <v>13019142.205954019</v>
      </c>
      <c r="J58" s="214">
        <f>30*((J52*$AJ$17)+(J53*$AJ$18)+(J54*$AJ$19)+(J55*$AJ$20))+'scenario 1'!J58</f>
        <v>13019142.205954019</v>
      </c>
      <c r="K58" s="214">
        <f>30*((K52*$AJ$17)+(K53*$AJ$18)+(K54*$AJ$19)+(K55*$AJ$20))+'scenario 1'!K58</f>
        <v>13019142.205954019</v>
      </c>
      <c r="L58" s="214">
        <f>30*((L52*$AJ$17)+(L53*$AJ$18)+(L54*$AJ$19)+(L55*$AJ$20))+'scenario 1'!L58</f>
        <v>13019142.205954019</v>
      </c>
      <c r="M58" s="214">
        <f>30*((M52*$AJ$17)+(M53*$AJ$18)+(M54*$AJ$19)+(M55*$AJ$20))+'scenario 1'!M58</f>
        <v>13019142.205954019</v>
      </c>
      <c r="N58" s="214">
        <f>30*((N52*$AJ$17)+(N53*$AJ$18)+(N54*$AJ$19)+(N55*$AJ$20))+'scenario 1'!N58</f>
        <v>13019142.205954019</v>
      </c>
      <c r="O58" s="214">
        <f>SUM(B58:N58)</f>
        <v>183203624.45742342</v>
      </c>
      <c r="P58" s="164"/>
      <c r="Q58" s="168"/>
      <c r="R58" s="147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51"/>
      <c r="AE58" s="168"/>
      <c r="AF58" s="168"/>
      <c r="AG58" s="168"/>
      <c r="AH58" s="151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168"/>
      <c r="BI58" s="168"/>
      <c r="BJ58" s="168"/>
      <c r="BK58" s="168"/>
      <c r="BL58" s="168"/>
      <c r="BM58" s="168"/>
      <c r="BN58" s="168"/>
      <c r="BO58" s="168"/>
      <c r="BP58" s="168"/>
      <c r="BQ58" s="168"/>
      <c r="BR58" s="168"/>
    </row>
    <row r="59" spans="1:70" s="157" customFormat="1" ht="15" thickBot="1" x14ac:dyDescent="0.4">
      <c r="A59" s="193" t="s">
        <v>113</v>
      </c>
      <c r="B59" s="214">
        <f t="shared" ref="B59" si="61">B58/1000</f>
        <v>15810.09736195826</v>
      </c>
      <c r="C59" s="214">
        <f t="shared" ref="C59" si="62">C58/1000</f>
        <v>15810.09736195826</v>
      </c>
      <c r="D59" s="214">
        <f t="shared" ref="D59" si="63">D58/1000</f>
        <v>15810.09736195826</v>
      </c>
      <c r="E59" s="214">
        <f t="shared" ref="E59" si="64">E58/1000</f>
        <v>15810.09736195826</v>
      </c>
      <c r="F59" s="214">
        <f t="shared" ref="F59" si="65">F58/1000</f>
        <v>15810.09736195826</v>
      </c>
      <c r="G59" s="214">
        <f t="shared" ref="G59" si="66">G58/1000</f>
        <v>13019.142205954018</v>
      </c>
      <c r="H59" s="214">
        <f t="shared" ref="H59" si="67">H58/1000</f>
        <v>13019.142205954018</v>
      </c>
      <c r="I59" s="214">
        <f t="shared" ref="I59" si="68">I58/1000</f>
        <v>13019.142205954018</v>
      </c>
      <c r="J59" s="214">
        <f t="shared" ref="J59" si="69">J58/1000</f>
        <v>13019.142205954018</v>
      </c>
      <c r="K59" s="214">
        <f t="shared" ref="K59" si="70">K58/1000</f>
        <v>13019.142205954018</v>
      </c>
      <c r="L59" s="214">
        <f t="shared" ref="L59" si="71">L58/1000</f>
        <v>13019.142205954018</v>
      </c>
      <c r="M59" s="214">
        <f t="shared" ref="M59" si="72">M58/1000</f>
        <v>13019.142205954018</v>
      </c>
      <c r="N59" s="214">
        <f t="shared" ref="N59" si="73">N58/1000</f>
        <v>13019.142205954018</v>
      </c>
      <c r="O59" s="214">
        <f t="shared" ref="O59" si="74">O58/1000</f>
        <v>183203.62445742343</v>
      </c>
      <c r="P59" s="164"/>
      <c r="Q59" s="168"/>
      <c r="R59" s="147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51"/>
      <c r="AE59" s="168"/>
      <c r="AF59" s="168"/>
      <c r="AG59" s="168"/>
      <c r="AH59" s="151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68"/>
      <c r="AT59" s="168"/>
      <c r="AU59" s="168"/>
      <c r="AV59" s="168"/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168"/>
      <c r="BI59" s="168"/>
      <c r="BJ59" s="168"/>
      <c r="BK59" s="168"/>
      <c r="BL59" s="168"/>
      <c r="BM59" s="168"/>
      <c r="BN59" s="168"/>
      <c r="BO59" s="168"/>
      <c r="BP59" s="168"/>
      <c r="BQ59" s="168"/>
      <c r="BR59" s="168"/>
    </row>
    <row r="60" spans="1:70" s="152" customFormat="1" x14ac:dyDescent="0.35">
      <c r="A60" s="193" t="s">
        <v>64</v>
      </c>
      <c r="B60" s="215">
        <f>B59*$AB$3</f>
        <v>3162019.4723916519</v>
      </c>
      <c r="C60" s="215">
        <f t="shared" ref="C60" si="75">C59*$AB$3</f>
        <v>3162019.4723916519</v>
      </c>
      <c r="D60" s="215">
        <f t="shared" ref="D60" si="76">D59*$AB$3</f>
        <v>3162019.4723916519</v>
      </c>
      <c r="E60" s="215">
        <f t="shared" ref="E60" si="77">E59*$AB$3</f>
        <v>3162019.4723916519</v>
      </c>
      <c r="F60" s="215">
        <f t="shared" ref="F60" si="78">F59*$AB$3</f>
        <v>3162019.4723916519</v>
      </c>
      <c r="G60" s="215">
        <f t="shared" ref="G60" si="79">G59*$AB$3</f>
        <v>2603828.4411908034</v>
      </c>
      <c r="H60" s="215">
        <f t="shared" ref="H60" si="80">H59*$AB$3</f>
        <v>2603828.4411908034</v>
      </c>
      <c r="I60" s="215">
        <f t="shared" ref="I60" si="81">I59*$AB$3</f>
        <v>2603828.4411908034</v>
      </c>
      <c r="J60" s="215">
        <f t="shared" ref="J60" si="82">J59*$AB$3</f>
        <v>2603828.4411908034</v>
      </c>
      <c r="K60" s="215">
        <f t="shared" ref="K60" si="83">K59*$AB$3</f>
        <v>2603828.4411908034</v>
      </c>
      <c r="L60" s="215">
        <f t="shared" ref="L60" si="84">L59*$AB$3</f>
        <v>2603828.4411908034</v>
      </c>
      <c r="M60" s="215">
        <f t="shared" ref="M60" si="85">M59*$AB$3</f>
        <v>2603828.4411908034</v>
      </c>
      <c r="N60" s="215">
        <f t="shared" ref="N60" si="86">N59*$AB$3</f>
        <v>2603828.4411908034</v>
      </c>
      <c r="O60" s="215">
        <f t="shared" ref="O60" si="87">O59*$AB$3</f>
        <v>36640724.891484685</v>
      </c>
      <c r="P60" s="159"/>
      <c r="Q60" s="168"/>
      <c r="R60" s="147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51"/>
      <c r="AE60" s="168"/>
      <c r="AF60" s="168"/>
      <c r="AG60" s="168"/>
      <c r="AH60" s="151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8"/>
      <c r="AZ60" s="168"/>
      <c r="BA60" s="168"/>
      <c r="BB60" s="168"/>
      <c r="BC60" s="168"/>
      <c r="BD60" s="168"/>
      <c r="BE60" s="168"/>
      <c r="BF60" s="168"/>
      <c r="BG60" s="168"/>
      <c r="BH60" s="168"/>
      <c r="BI60" s="168"/>
      <c r="BJ60" s="168"/>
      <c r="BK60" s="168"/>
      <c r="BL60" s="168"/>
      <c r="BM60" s="168"/>
      <c r="BN60" s="168"/>
      <c r="BO60" s="168"/>
      <c r="BP60" s="168"/>
      <c r="BQ60" s="168"/>
      <c r="BR60" s="168"/>
    </row>
    <row r="61" spans="1:70" s="152" customFormat="1" x14ac:dyDescent="0.35">
      <c r="A61" s="193"/>
      <c r="B61" s="214"/>
      <c r="C61" s="194"/>
      <c r="D61" s="194"/>
      <c r="E61" s="194"/>
      <c r="F61" s="194"/>
      <c r="G61" s="214"/>
      <c r="H61" s="194"/>
      <c r="I61" s="194"/>
      <c r="J61" s="194"/>
      <c r="K61" s="194"/>
      <c r="L61" s="194"/>
      <c r="M61" s="194"/>
      <c r="N61" s="194"/>
      <c r="O61" s="194"/>
      <c r="P61" s="159"/>
      <c r="Q61" s="168"/>
      <c r="R61" s="147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51"/>
      <c r="AE61" s="168"/>
      <c r="AF61" s="168"/>
      <c r="AG61" s="168"/>
      <c r="AH61" s="151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168"/>
      <c r="AT61" s="168"/>
      <c r="AU61" s="168"/>
      <c r="AV61" s="168"/>
      <c r="AW61" s="168"/>
      <c r="AX61" s="168"/>
      <c r="AY61" s="168"/>
      <c r="AZ61" s="168"/>
      <c r="BA61" s="168"/>
      <c r="BB61" s="168"/>
      <c r="BC61" s="168"/>
      <c r="BD61" s="168"/>
      <c r="BE61" s="168"/>
      <c r="BF61" s="168"/>
      <c r="BG61" s="168"/>
      <c r="BH61" s="168"/>
      <c r="BI61" s="168"/>
      <c r="BJ61" s="168"/>
      <c r="BK61" s="168"/>
      <c r="BL61" s="168"/>
      <c r="BM61" s="168"/>
      <c r="BN61" s="168"/>
      <c r="BO61" s="168"/>
      <c r="BP61" s="168"/>
      <c r="BQ61" s="168"/>
      <c r="BR61" s="168"/>
    </row>
    <row r="62" spans="1:70" s="152" customFormat="1" ht="15" thickBot="1" x14ac:dyDescent="0.4">
      <c r="A62" s="197"/>
      <c r="B62" s="216"/>
      <c r="C62" s="198"/>
      <c r="D62" s="198"/>
      <c r="E62" s="198"/>
      <c r="F62" s="198"/>
      <c r="G62" s="216"/>
      <c r="H62" s="198"/>
      <c r="I62" s="198"/>
      <c r="J62" s="198"/>
      <c r="K62" s="198"/>
      <c r="L62" s="198"/>
      <c r="M62" s="198"/>
      <c r="N62" s="198"/>
      <c r="O62" s="198"/>
      <c r="P62" s="159"/>
      <c r="Q62" s="168"/>
      <c r="R62" s="147"/>
      <c r="S62" s="168"/>
      <c r="T62" s="168"/>
      <c r="U62" s="168"/>
      <c r="V62" s="168"/>
      <c r="W62" s="168"/>
      <c r="X62" s="168"/>
      <c r="Y62" s="168"/>
      <c r="Z62" s="168"/>
      <c r="AA62" s="168"/>
      <c r="AB62" s="168"/>
      <c r="AC62" s="168"/>
      <c r="AD62" s="151"/>
      <c r="AE62" s="168"/>
      <c r="AF62" s="168"/>
      <c r="AG62" s="168"/>
      <c r="AH62" s="151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168"/>
      <c r="AT62" s="168"/>
      <c r="AU62" s="168"/>
      <c r="AV62" s="168"/>
      <c r="AW62" s="168"/>
      <c r="AX62" s="168"/>
      <c r="AY62" s="168"/>
      <c r="AZ62" s="168"/>
      <c r="BA62" s="168"/>
      <c r="BB62" s="168"/>
      <c r="BC62" s="168"/>
      <c r="BD62" s="168"/>
      <c r="BE62" s="168"/>
      <c r="BF62" s="168"/>
      <c r="BG62" s="168"/>
      <c r="BH62" s="168"/>
      <c r="BI62" s="168"/>
      <c r="BJ62" s="168"/>
      <c r="BK62" s="168"/>
      <c r="BL62" s="168"/>
      <c r="BM62" s="168"/>
      <c r="BN62" s="168"/>
      <c r="BO62" s="168"/>
      <c r="BP62" s="168"/>
      <c r="BQ62" s="168"/>
      <c r="BR62" s="168"/>
    </row>
    <row r="63" spans="1:70" s="152" customFormat="1" x14ac:dyDescent="0.35">
      <c r="A63" s="187"/>
      <c r="B63" s="212"/>
      <c r="C63" s="179"/>
      <c r="D63" s="179"/>
      <c r="E63" s="179"/>
      <c r="F63" s="179"/>
      <c r="G63" s="212"/>
      <c r="H63" s="179"/>
      <c r="I63" s="179"/>
      <c r="J63" s="179"/>
      <c r="K63" s="179"/>
      <c r="L63" s="179"/>
      <c r="M63" s="179"/>
      <c r="N63" s="179"/>
      <c r="O63" s="179"/>
      <c r="P63" s="160"/>
      <c r="Q63" s="168"/>
      <c r="R63" s="147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51"/>
      <c r="AE63" s="168"/>
      <c r="AF63" s="168"/>
      <c r="AG63" s="168"/>
      <c r="AH63" s="151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168"/>
      <c r="AT63" s="168"/>
      <c r="AU63" s="168"/>
      <c r="AV63" s="168"/>
      <c r="AW63" s="168"/>
      <c r="AX63" s="168"/>
      <c r="AY63" s="168"/>
      <c r="AZ63" s="168"/>
      <c r="BA63" s="168"/>
      <c r="BB63" s="168"/>
      <c r="BC63" s="168"/>
      <c r="BD63" s="168"/>
      <c r="BE63" s="168"/>
      <c r="BF63" s="168"/>
      <c r="BG63" s="168"/>
      <c r="BH63" s="168"/>
      <c r="BI63" s="168"/>
      <c r="BJ63" s="168"/>
      <c r="BK63" s="168"/>
      <c r="BL63" s="168"/>
      <c r="BM63" s="168"/>
      <c r="BN63" s="168"/>
      <c r="BO63" s="168"/>
      <c r="BP63" s="168"/>
      <c r="BQ63" s="168"/>
      <c r="BR63" s="168"/>
    </row>
    <row r="64" spans="1:70" s="152" customFormat="1" x14ac:dyDescent="0.35">
      <c r="A64" s="154"/>
      <c r="B64" s="212"/>
      <c r="C64" s="179"/>
      <c r="D64" s="179"/>
      <c r="E64" s="179"/>
      <c r="F64" s="179"/>
      <c r="G64" s="212"/>
      <c r="H64" s="179"/>
      <c r="I64" s="179"/>
      <c r="J64" s="179"/>
      <c r="K64" s="179"/>
      <c r="L64" s="179"/>
      <c r="M64" s="179"/>
      <c r="N64" s="179"/>
      <c r="O64" s="179"/>
      <c r="P64" s="159"/>
      <c r="Q64" s="168"/>
      <c r="R64" s="147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51"/>
      <c r="AE64" s="168"/>
      <c r="AF64" s="168"/>
      <c r="AG64" s="168"/>
      <c r="AH64" s="151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68"/>
      <c r="AT64" s="168"/>
      <c r="AU64" s="168"/>
      <c r="AV64" s="168"/>
      <c r="AW64" s="168"/>
      <c r="AX64" s="168"/>
      <c r="AY64" s="168"/>
      <c r="AZ64" s="168"/>
      <c r="BA64" s="168"/>
      <c r="BB64" s="168"/>
      <c r="BC64" s="168"/>
      <c r="BD64" s="168"/>
      <c r="BE64" s="168"/>
      <c r="BF64" s="168"/>
      <c r="BG64" s="168"/>
      <c r="BH64" s="168"/>
      <c r="BI64" s="168"/>
      <c r="BJ64" s="168"/>
      <c r="BK64" s="168"/>
      <c r="BL64" s="168"/>
      <c r="BM64" s="168"/>
      <c r="BN64" s="168"/>
      <c r="BO64" s="168"/>
      <c r="BP64" s="168"/>
      <c r="BQ64" s="168"/>
      <c r="BR64" s="168"/>
    </row>
    <row r="65" spans="1:70" s="152" customFormat="1" x14ac:dyDescent="0.35">
      <c r="A65" s="180" t="s">
        <v>0</v>
      </c>
      <c r="B65" s="209" t="s">
        <v>7</v>
      </c>
      <c r="C65" s="182" t="s">
        <v>8</v>
      </c>
      <c r="D65" s="182" t="s">
        <v>9</v>
      </c>
      <c r="E65" s="182" t="s">
        <v>10</v>
      </c>
      <c r="F65" s="182" t="s">
        <v>11</v>
      </c>
      <c r="G65" s="209" t="s">
        <v>12</v>
      </c>
      <c r="H65" s="182" t="s">
        <v>13</v>
      </c>
      <c r="I65" s="182" t="s">
        <v>14</v>
      </c>
      <c r="J65" s="182" t="s">
        <v>15</v>
      </c>
      <c r="K65" s="182" t="s">
        <v>16</v>
      </c>
      <c r="L65" s="183" t="s">
        <v>17</v>
      </c>
      <c r="M65" s="184" t="s">
        <v>23</v>
      </c>
      <c r="N65" s="184" t="s">
        <v>24</v>
      </c>
      <c r="O65" s="185" t="s">
        <v>18</v>
      </c>
      <c r="P65" s="159"/>
      <c r="Q65" s="168"/>
      <c r="R65" s="147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51"/>
      <c r="AE65" s="168"/>
      <c r="AF65" s="168"/>
      <c r="AG65" s="168"/>
      <c r="AH65" s="151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168"/>
      <c r="AT65" s="168"/>
      <c r="AU65" s="168"/>
      <c r="AV65" s="168"/>
      <c r="AW65" s="168"/>
      <c r="AX65" s="168"/>
      <c r="AY65" s="168"/>
      <c r="AZ65" s="168"/>
      <c r="BA65" s="168"/>
      <c r="BB65" s="168"/>
      <c r="BC65" s="168"/>
      <c r="BD65" s="168"/>
      <c r="BE65" s="168"/>
      <c r="BF65" s="168"/>
      <c r="BG65" s="168"/>
      <c r="BH65" s="168"/>
      <c r="BI65" s="168"/>
      <c r="BJ65" s="168"/>
      <c r="BK65" s="168"/>
      <c r="BL65" s="168"/>
      <c r="BM65" s="168"/>
      <c r="BN65" s="168"/>
      <c r="BO65" s="168"/>
      <c r="BP65" s="168"/>
      <c r="BQ65" s="168"/>
      <c r="BR65" s="168"/>
    </row>
    <row r="66" spans="1:70" s="152" customFormat="1" x14ac:dyDescent="0.35">
      <c r="A66" s="154" t="s">
        <v>30</v>
      </c>
      <c r="B66" s="217">
        <v>640</v>
      </c>
      <c r="C66" s="199">
        <v>640</v>
      </c>
      <c r="D66" s="199">
        <v>640</v>
      </c>
      <c r="E66" s="199">
        <v>640</v>
      </c>
      <c r="F66" s="199">
        <v>640</v>
      </c>
      <c r="G66" s="217">
        <v>640</v>
      </c>
      <c r="H66" s="199">
        <v>640</v>
      </c>
      <c r="I66" s="199">
        <v>640</v>
      </c>
      <c r="J66" s="199">
        <v>640</v>
      </c>
      <c r="K66" s="199">
        <v>640</v>
      </c>
      <c r="L66" s="199">
        <v>640</v>
      </c>
      <c r="M66" s="199">
        <v>640</v>
      </c>
      <c r="N66" s="199">
        <v>640</v>
      </c>
      <c r="O66" s="200">
        <f>SUM(B66:N66)</f>
        <v>8320</v>
      </c>
      <c r="P66" s="159"/>
      <c r="Q66" s="168"/>
      <c r="R66" s="147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51"/>
      <c r="AE66" s="168"/>
      <c r="AF66" s="168"/>
      <c r="AG66" s="168"/>
      <c r="AH66" s="151"/>
      <c r="AI66" s="168"/>
      <c r="AJ66" s="168"/>
      <c r="AK66" s="168"/>
      <c r="AL66" s="168"/>
      <c r="AM66" s="168"/>
      <c r="AN66" s="168"/>
      <c r="AO66" s="168"/>
      <c r="AP66" s="168"/>
      <c r="AQ66" s="168"/>
      <c r="AR66" s="168"/>
      <c r="AS66" s="168"/>
      <c r="AT66" s="168"/>
      <c r="AU66" s="168"/>
      <c r="AV66" s="168"/>
      <c r="AW66" s="168"/>
      <c r="AX66" s="168"/>
      <c r="AY66" s="168"/>
      <c r="AZ66" s="168"/>
      <c r="BA66" s="168"/>
      <c r="BB66" s="168"/>
      <c r="BC66" s="168"/>
      <c r="BD66" s="168"/>
      <c r="BE66" s="168"/>
      <c r="BF66" s="168"/>
      <c r="BG66" s="168"/>
      <c r="BH66" s="168"/>
      <c r="BI66" s="168"/>
      <c r="BJ66" s="168"/>
      <c r="BK66" s="168"/>
      <c r="BL66" s="168"/>
      <c r="BM66" s="168"/>
      <c r="BN66" s="168"/>
      <c r="BO66" s="168"/>
      <c r="BP66" s="168"/>
      <c r="BQ66" s="168"/>
      <c r="BR66" s="168"/>
    </row>
    <row r="67" spans="1:70" s="158" customFormat="1" x14ac:dyDescent="0.35">
      <c r="A67" s="187" t="s">
        <v>20</v>
      </c>
      <c r="B67" s="218">
        <f>'housing proportion projections'!I26</f>
        <v>123.40225964613089</v>
      </c>
      <c r="C67" s="218">
        <f>'housing proportion projections'!J26</f>
        <v>123.40225964613089</v>
      </c>
      <c r="D67" s="218">
        <f>'housing proportion projections'!K26</f>
        <v>123.40225964613089</v>
      </c>
      <c r="E67" s="218">
        <f>'housing proportion projections'!L26</f>
        <v>123.40225964613089</v>
      </c>
      <c r="F67" s="218">
        <f>'housing proportion projections'!M26</f>
        <v>123.40225964613089</v>
      </c>
      <c r="G67" s="218">
        <f>'housing proportion projections'!N26</f>
        <v>123.40225964613089</v>
      </c>
      <c r="H67" s="218">
        <f>'housing proportion projections'!O26</f>
        <v>123.40225964613089</v>
      </c>
      <c r="I67" s="218">
        <f>'housing proportion projections'!P26</f>
        <v>123.40225964613089</v>
      </c>
      <c r="J67" s="218">
        <f>'housing proportion projections'!Q26</f>
        <v>123.40225964613089</v>
      </c>
      <c r="K67" s="218">
        <f>'housing proportion projections'!R26</f>
        <v>123.40225964613089</v>
      </c>
      <c r="L67" s="218">
        <f>'housing proportion projections'!S26</f>
        <v>123.40225964613089</v>
      </c>
      <c r="M67" s="218">
        <f>'housing proportion projections'!T26</f>
        <v>123.40225964613089</v>
      </c>
      <c r="N67" s="218">
        <f>'housing proportion projections'!U26</f>
        <v>123.40225964613089</v>
      </c>
      <c r="O67" s="200">
        <f t="shared" ref="O67:O70" si="88">SUM(B67:N67)</f>
        <v>1604.2293753997017</v>
      </c>
      <c r="P67" s="167"/>
      <c r="Q67" s="168"/>
      <c r="R67" s="147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  <c r="AD67" s="151"/>
      <c r="AE67" s="168"/>
      <c r="AF67" s="168"/>
      <c r="AG67" s="168"/>
      <c r="AH67" s="151"/>
      <c r="AI67" s="168"/>
      <c r="AJ67" s="168"/>
      <c r="AK67" s="168"/>
      <c r="AL67" s="168"/>
      <c r="AM67" s="168"/>
      <c r="AN67" s="168"/>
      <c r="AO67" s="168"/>
      <c r="AP67" s="168"/>
      <c r="AQ67" s="168"/>
      <c r="AR67" s="168"/>
      <c r="AS67" s="168"/>
      <c r="AT67" s="168"/>
      <c r="AU67" s="168"/>
      <c r="AV67" s="168"/>
      <c r="AW67" s="168"/>
      <c r="AX67" s="168"/>
      <c r="AY67" s="168"/>
      <c r="AZ67" s="168"/>
      <c r="BA67" s="168"/>
      <c r="BB67" s="168"/>
      <c r="BC67" s="168"/>
      <c r="BD67" s="168"/>
      <c r="BE67" s="168"/>
      <c r="BF67" s="168"/>
      <c r="BG67" s="168"/>
      <c r="BH67" s="168"/>
      <c r="BI67" s="168"/>
      <c r="BJ67" s="168"/>
      <c r="BK67" s="168"/>
      <c r="BL67" s="168"/>
      <c r="BM67" s="168"/>
      <c r="BN67" s="168"/>
      <c r="BO67" s="168"/>
      <c r="BP67" s="168"/>
      <c r="BQ67" s="168"/>
      <c r="BR67" s="168"/>
    </row>
    <row r="68" spans="1:70" s="152" customFormat="1" ht="15" thickBot="1" x14ac:dyDescent="0.4">
      <c r="A68" s="187" t="s">
        <v>21</v>
      </c>
      <c r="B68" s="218">
        <f>'housing proportion projections'!I27</f>
        <v>174.29119590705608</v>
      </c>
      <c r="C68" s="218">
        <f>'housing proportion projections'!J27</f>
        <v>174.29119590705608</v>
      </c>
      <c r="D68" s="218">
        <f>'housing proportion projections'!K27</f>
        <v>174.29119590705608</v>
      </c>
      <c r="E68" s="218">
        <f>'housing proportion projections'!L27</f>
        <v>174.29119590705608</v>
      </c>
      <c r="F68" s="218">
        <f>'housing proportion projections'!M27</f>
        <v>174.29119590705608</v>
      </c>
      <c r="G68" s="218">
        <f>'housing proportion projections'!N27</f>
        <v>174.29119590705608</v>
      </c>
      <c r="H68" s="218">
        <f>'housing proportion projections'!O27</f>
        <v>174.29119590705608</v>
      </c>
      <c r="I68" s="218">
        <f>'housing proportion projections'!P27</f>
        <v>174.29119590705608</v>
      </c>
      <c r="J68" s="218">
        <f>'housing proportion projections'!Q27</f>
        <v>174.29119590705608</v>
      </c>
      <c r="K68" s="218">
        <f>'housing proportion projections'!R27</f>
        <v>174.29119590705608</v>
      </c>
      <c r="L68" s="218">
        <f>'housing proportion projections'!S27</f>
        <v>174.29119590705608</v>
      </c>
      <c r="M68" s="218">
        <f>'housing proportion projections'!T27</f>
        <v>174.29119590705608</v>
      </c>
      <c r="N68" s="218">
        <f>'housing proportion projections'!U27</f>
        <v>174.29119590705608</v>
      </c>
      <c r="O68" s="200">
        <f t="shared" si="88"/>
        <v>2265.7855467917293</v>
      </c>
      <c r="P68" s="159"/>
      <c r="Q68" s="168"/>
      <c r="R68" s="147"/>
      <c r="S68" s="168"/>
      <c r="T68" s="168"/>
      <c r="U68" s="168"/>
      <c r="V68" s="168"/>
      <c r="W68" s="168"/>
      <c r="X68" s="168"/>
      <c r="Y68" s="168"/>
      <c r="Z68" s="168"/>
      <c r="AA68" s="168"/>
      <c r="AB68" s="168"/>
      <c r="AC68" s="168"/>
      <c r="AD68" s="151"/>
      <c r="AE68" s="168"/>
      <c r="AF68" s="168"/>
      <c r="AG68" s="168"/>
      <c r="AH68" s="151"/>
      <c r="AI68" s="168"/>
      <c r="AJ68" s="168"/>
      <c r="AK68" s="168"/>
      <c r="AL68" s="168"/>
      <c r="AM68" s="168"/>
      <c r="AN68" s="168"/>
      <c r="AO68" s="168"/>
      <c r="AP68" s="168"/>
      <c r="AQ68" s="168"/>
      <c r="AR68" s="168"/>
      <c r="AS68" s="168"/>
      <c r="AT68" s="168"/>
      <c r="AU68" s="168"/>
      <c r="AV68" s="168"/>
      <c r="AW68" s="168"/>
      <c r="AX68" s="168"/>
      <c r="AY68" s="168"/>
      <c r="AZ68" s="168"/>
      <c r="BA68" s="168"/>
      <c r="BB68" s="168"/>
      <c r="BC68" s="168"/>
      <c r="BD68" s="168"/>
      <c r="BE68" s="168"/>
      <c r="BF68" s="168"/>
      <c r="BG68" s="168"/>
      <c r="BH68" s="168"/>
      <c r="BI68" s="168"/>
      <c r="BJ68" s="168"/>
      <c r="BK68" s="168"/>
      <c r="BL68" s="168"/>
      <c r="BM68" s="168"/>
      <c r="BN68" s="168"/>
      <c r="BO68" s="168"/>
      <c r="BP68" s="168"/>
      <c r="BQ68" s="168"/>
      <c r="BR68" s="168"/>
    </row>
    <row r="69" spans="1:70" s="156" customFormat="1" x14ac:dyDescent="0.35">
      <c r="A69" s="187" t="s">
        <v>26</v>
      </c>
      <c r="B69" s="218">
        <f>'housing proportion projections'!I28</f>
        <v>251.44318908548286</v>
      </c>
      <c r="C69" s="218">
        <f>'housing proportion projections'!J28</f>
        <v>251.44318908548286</v>
      </c>
      <c r="D69" s="218">
        <f>'housing proportion projections'!K28</f>
        <v>251.44318908548286</v>
      </c>
      <c r="E69" s="218">
        <f>'housing proportion projections'!L28</f>
        <v>251.44318908548286</v>
      </c>
      <c r="F69" s="218">
        <f>'housing proportion projections'!M28</f>
        <v>251.44318908548286</v>
      </c>
      <c r="G69" s="218">
        <f>'housing proportion projections'!N28</f>
        <v>251.44318908548286</v>
      </c>
      <c r="H69" s="218">
        <f>'housing proportion projections'!O28</f>
        <v>251.44318908548286</v>
      </c>
      <c r="I69" s="218">
        <f>'housing proportion projections'!P28</f>
        <v>251.44318908548286</v>
      </c>
      <c r="J69" s="218">
        <f>'housing proportion projections'!Q28</f>
        <v>251.44318908548286</v>
      </c>
      <c r="K69" s="218">
        <f>'housing proportion projections'!R28</f>
        <v>251.44318908548286</v>
      </c>
      <c r="L69" s="218">
        <f>'housing proportion projections'!S28</f>
        <v>251.44318908548286</v>
      </c>
      <c r="M69" s="218">
        <f>'housing proportion projections'!T28</f>
        <v>251.44318908548286</v>
      </c>
      <c r="N69" s="218">
        <f>'housing proportion projections'!U28</f>
        <v>251.44318908548286</v>
      </c>
      <c r="O69" s="200">
        <f t="shared" si="88"/>
        <v>3268.7614581112775</v>
      </c>
      <c r="P69" s="161"/>
      <c r="Q69" s="168"/>
      <c r="R69" s="147"/>
      <c r="S69" s="168"/>
      <c r="T69" s="168"/>
      <c r="U69" s="168"/>
      <c r="V69" s="168"/>
      <c r="W69" s="168"/>
      <c r="X69" s="168"/>
      <c r="Y69" s="168"/>
      <c r="Z69" s="168"/>
      <c r="AA69" s="168"/>
      <c r="AB69" s="168"/>
      <c r="AC69" s="168"/>
      <c r="AD69" s="151"/>
      <c r="AE69" s="168"/>
      <c r="AF69" s="168"/>
      <c r="AG69" s="168"/>
      <c r="AH69" s="151"/>
      <c r="AI69" s="168"/>
      <c r="AJ69" s="168"/>
      <c r="AK69" s="168"/>
      <c r="AL69" s="168"/>
      <c r="AM69" s="168"/>
      <c r="AN69" s="168"/>
      <c r="AO69" s="168"/>
      <c r="AP69" s="168"/>
      <c r="AQ69" s="168"/>
      <c r="AR69" s="168"/>
      <c r="AS69" s="168"/>
      <c r="AT69" s="168"/>
      <c r="AU69" s="168"/>
      <c r="AV69" s="168"/>
      <c r="AW69" s="168"/>
      <c r="AX69" s="168"/>
      <c r="AY69" s="168"/>
      <c r="AZ69" s="168"/>
      <c r="BA69" s="168"/>
      <c r="BB69" s="168"/>
      <c r="BC69" s="168"/>
      <c r="BD69" s="168"/>
      <c r="BE69" s="168"/>
      <c r="BF69" s="168"/>
      <c r="BG69" s="168"/>
      <c r="BH69" s="168"/>
      <c r="BI69" s="168"/>
      <c r="BJ69" s="168"/>
      <c r="BK69" s="168"/>
      <c r="BL69" s="168"/>
      <c r="BM69" s="168"/>
      <c r="BN69" s="168"/>
      <c r="BO69" s="168"/>
      <c r="BP69" s="168"/>
      <c r="BQ69" s="168"/>
      <c r="BR69" s="168"/>
    </row>
    <row r="70" spans="1:70" s="155" customFormat="1" x14ac:dyDescent="0.35">
      <c r="A70" s="190" t="s">
        <v>22</v>
      </c>
      <c r="B70" s="218">
        <f>'housing proportion projections'!I29</f>
        <v>90.931571093583457</v>
      </c>
      <c r="C70" s="218">
        <f>'housing proportion projections'!J29</f>
        <v>90.931571093583457</v>
      </c>
      <c r="D70" s="218">
        <f>'housing proportion projections'!K29</f>
        <v>90.931571093583457</v>
      </c>
      <c r="E70" s="218">
        <f>'housing proportion projections'!L29</f>
        <v>90.931571093583457</v>
      </c>
      <c r="F70" s="218">
        <f>'housing proportion projections'!M29</f>
        <v>90.931571093583457</v>
      </c>
      <c r="G70" s="218">
        <f>'housing proportion projections'!N29</f>
        <v>90.931571093583457</v>
      </c>
      <c r="H70" s="218">
        <f>'housing proportion projections'!O29</f>
        <v>90.931571093583457</v>
      </c>
      <c r="I70" s="218">
        <f>'housing proportion projections'!P29</f>
        <v>90.931571093583457</v>
      </c>
      <c r="J70" s="218">
        <f>'housing proportion projections'!Q29</f>
        <v>90.931571093583457</v>
      </c>
      <c r="K70" s="218">
        <f>'housing proportion projections'!R29</f>
        <v>90.931571093583457</v>
      </c>
      <c r="L70" s="218">
        <f>'housing proportion projections'!S29</f>
        <v>90.931571093583457</v>
      </c>
      <c r="M70" s="218">
        <f>'housing proportion projections'!T29</f>
        <v>90.931571093583457</v>
      </c>
      <c r="N70" s="218">
        <f>'housing proportion projections'!U29</f>
        <v>90.931571093583457</v>
      </c>
      <c r="O70" s="200">
        <f t="shared" si="88"/>
        <v>1182.110424216585</v>
      </c>
      <c r="P70" s="162"/>
      <c r="Q70" s="168"/>
      <c r="R70" s="147"/>
      <c r="S70" s="168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  <c r="AD70" s="151"/>
      <c r="AE70" s="168"/>
      <c r="AF70" s="168"/>
      <c r="AG70" s="168"/>
      <c r="AH70" s="151"/>
      <c r="AI70" s="168"/>
      <c r="AJ70" s="168"/>
      <c r="AK70" s="168"/>
      <c r="AL70" s="168"/>
      <c r="AM70" s="168"/>
      <c r="AN70" s="168"/>
      <c r="AO70" s="168"/>
      <c r="AP70" s="168"/>
      <c r="AQ70" s="168"/>
      <c r="AR70" s="168"/>
      <c r="AS70" s="168"/>
      <c r="AT70" s="168"/>
      <c r="AU70" s="168"/>
      <c r="AV70" s="168"/>
      <c r="AW70" s="168"/>
      <c r="AX70" s="168"/>
      <c r="AY70" s="168"/>
      <c r="AZ70" s="168"/>
      <c r="BA70" s="168"/>
      <c r="BB70" s="168"/>
      <c r="BC70" s="168"/>
      <c r="BD70" s="168"/>
      <c r="BE70" s="168"/>
      <c r="BF70" s="168"/>
      <c r="BG70" s="168"/>
      <c r="BH70" s="168"/>
      <c r="BI70" s="168"/>
      <c r="BJ70" s="168"/>
      <c r="BK70" s="168"/>
      <c r="BL70" s="168"/>
      <c r="BM70" s="168"/>
      <c r="BN70" s="168"/>
      <c r="BO70" s="168"/>
      <c r="BP70" s="168"/>
      <c r="BQ70" s="168"/>
      <c r="BR70" s="168"/>
    </row>
    <row r="71" spans="1:70" s="155" customFormat="1" ht="15" thickBot="1" x14ac:dyDescent="0.4">
      <c r="A71" s="179"/>
      <c r="B71" s="212"/>
      <c r="C71" s="179"/>
      <c r="D71" s="179"/>
      <c r="E71" s="179"/>
      <c r="F71" s="179"/>
      <c r="G71" s="212"/>
      <c r="H71" s="179"/>
      <c r="I71" s="179"/>
      <c r="J71" s="179"/>
      <c r="K71" s="179"/>
      <c r="L71" s="179"/>
      <c r="M71" s="179"/>
      <c r="N71" s="179"/>
      <c r="O71" s="179"/>
      <c r="P71" s="163"/>
      <c r="Q71" s="168"/>
      <c r="R71" s="147"/>
      <c r="S71" s="168"/>
      <c r="T71" s="168"/>
      <c r="U71" s="168"/>
      <c r="V71" s="168"/>
      <c r="W71" s="168"/>
      <c r="X71" s="168"/>
      <c r="Y71" s="168"/>
      <c r="Z71" s="168"/>
      <c r="AA71" s="168"/>
      <c r="AB71" s="168"/>
      <c r="AC71" s="168"/>
      <c r="AD71" s="151"/>
      <c r="AE71" s="168"/>
      <c r="AF71" s="168"/>
      <c r="AG71" s="168"/>
      <c r="AH71" s="151"/>
      <c r="AI71" s="168"/>
      <c r="AJ71" s="168"/>
      <c r="AK71" s="168"/>
      <c r="AL71" s="168"/>
      <c r="AM71" s="168"/>
      <c r="AN71" s="168"/>
      <c r="AO71" s="168"/>
      <c r="AP71" s="168"/>
      <c r="AQ71" s="168"/>
      <c r="AR71" s="168"/>
      <c r="AS71" s="168"/>
      <c r="AT71" s="168"/>
      <c r="AU71" s="168"/>
      <c r="AV71" s="168"/>
      <c r="AW71" s="168"/>
      <c r="AX71" s="168"/>
      <c r="AY71" s="168"/>
      <c r="AZ71" s="168"/>
      <c r="BA71" s="168"/>
      <c r="BB71" s="168"/>
      <c r="BC71" s="168"/>
      <c r="BD71" s="168"/>
      <c r="BE71" s="168"/>
      <c r="BF71" s="168"/>
      <c r="BG71" s="168"/>
      <c r="BH71" s="168"/>
      <c r="BI71" s="168"/>
      <c r="BJ71" s="168"/>
      <c r="BK71" s="168"/>
      <c r="BL71" s="168"/>
      <c r="BM71" s="168"/>
      <c r="BN71" s="168"/>
      <c r="BO71" s="168"/>
      <c r="BP71" s="168"/>
      <c r="BQ71" s="168"/>
      <c r="BR71" s="168"/>
    </row>
    <row r="72" spans="1:70" s="155" customFormat="1" x14ac:dyDescent="0.35">
      <c r="A72" s="191" t="s">
        <v>134</v>
      </c>
      <c r="B72" s="213"/>
      <c r="C72" s="192"/>
      <c r="D72" s="192"/>
      <c r="E72" s="192"/>
      <c r="F72" s="192"/>
      <c r="G72" s="213"/>
      <c r="H72" s="192"/>
      <c r="I72" s="192"/>
      <c r="J72" s="192"/>
      <c r="K72" s="192"/>
      <c r="L72" s="192"/>
      <c r="M72" s="192"/>
      <c r="N72" s="192"/>
      <c r="O72" s="192"/>
      <c r="P72" s="162"/>
      <c r="Q72" s="168"/>
      <c r="R72" s="147"/>
      <c r="S72" s="168"/>
      <c r="T72" s="168"/>
      <c r="U72" s="168"/>
      <c r="V72" s="168"/>
      <c r="W72" s="168"/>
      <c r="X72" s="168"/>
      <c r="Y72" s="168"/>
      <c r="Z72" s="168"/>
      <c r="AA72" s="168"/>
      <c r="AB72" s="168"/>
      <c r="AC72" s="168"/>
      <c r="AD72" s="151"/>
      <c r="AE72" s="168"/>
      <c r="AF72" s="168"/>
      <c r="AG72" s="168"/>
      <c r="AH72" s="151"/>
      <c r="AI72" s="168"/>
      <c r="AJ72" s="168"/>
      <c r="AK72" s="168"/>
      <c r="AL72" s="168"/>
      <c r="AM72" s="168"/>
      <c r="AN72" s="168"/>
      <c r="AO72" s="168"/>
      <c r="AP72" s="168"/>
      <c r="AQ72" s="168"/>
      <c r="AR72" s="168"/>
      <c r="AS72" s="168"/>
      <c r="AT72" s="168"/>
      <c r="AU72" s="168"/>
      <c r="AV72" s="168"/>
      <c r="AW72" s="168"/>
      <c r="AX72" s="168"/>
      <c r="AY72" s="168"/>
      <c r="AZ72" s="168"/>
      <c r="BA72" s="168"/>
      <c r="BB72" s="168"/>
      <c r="BC72" s="168"/>
      <c r="BD72" s="168"/>
      <c r="BE72" s="168"/>
      <c r="BF72" s="168"/>
      <c r="BG72" s="168"/>
      <c r="BH72" s="168"/>
      <c r="BI72" s="168"/>
      <c r="BJ72" s="168"/>
      <c r="BK72" s="168"/>
      <c r="BL72" s="168"/>
      <c r="BM72" s="168"/>
      <c r="BN72" s="168"/>
      <c r="BO72" s="168"/>
      <c r="BP72" s="168"/>
      <c r="BQ72" s="168"/>
      <c r="BR72" s="168"/>
    </row>
    <row r="73" spans="1:70" s="157" customFormat="1" ht="15" thickBot="1" x14ac:dyDescent="0.4">
      <c r="A73" s="193" t="s">
        <v>112</v>
      </c>
      <c r="B73" s="214">
        <f>30*((B67*$AF$17)+(B68*$AF$18)+(B69*$AF$19)+(B70*$AF$20))+'scenario 1'!B73</f>
        <v>13414578.537390338</v>
      </c>
      <c r="C73" s="214">
        <f>30*((C67*$AF$17)+(C68*$AF$18)+(C69*$AF$19)+(C70*$AF$20))+'scenario 1'!C73</f>
        <v>13414578.537390338</v>
      </c>
      <c r="D73" s="214">
        <f>30*((D67*$AF$17)+(D68*$AF$18)+(D69*$AF$19)+(D70*$AF$20))+'scenario 1'!D73</f>
        <v>13414578.537390338</v>
      </c>
      <c r="E73" s="214">
        <f>30*((E67*$AF$17)+(E68*$AF$18)+(E69*$AF$19)+(E70*$AF$20))+'scenario 1'!E73</f>
        <v>13414578.537390338</v>
      </c>
      <c r="F73" s="214">
        <f>30*((F67*$AF$17)+(F68*$AF$18)+(F69*$AF$19)+(F70*$AF$20))+'scenario 1'!F73</f>
        <v>13414578.537390338</v>
      </c>
      <c r="G73" s="214">
        <f>30*((G67*$AJ$17)+(G68*$AJ$18)+(G69*$AJ$19)+(G70*$AJ$20))+'scenario 1'!G73</f>
        <v>11042196.230678014</v>
      </c>
      <c r="H73" s="214">
        <f>30*((H67*$AJ$17)+(H68*$AJ$18)+(H69*$AJ$19)+(H70*$AJ$20))+'scenario 1'!H73</f>
        <v>11042196.230678014</v>
      </c>
      <c r="I73" s="214">
        <f>30*((I67*$AJ$17)+(I68*$AJ$18)+(I69*$AJ$19)+(I70*$AJ$20))+'scenario 1'!I73</f>
        <v>11042196.230678014</v>
      </c>
      <c r="J73" s="214">
        <f>30*((J67*$AJ$17)+(J68*$AJ$18)+(J69*$AJ$19)+(J70*$AJ$20))+'scenario 1'!J73</f>
        <v>11042196.230678014</v>
      </c>
      <c r="K73" s="214">
        <f>30*((K67*$AJ$17)+(K68*$AJ$18)+(K69*$AJ$19)+(K70*$AJ$20))+'scenario 1'!K73</f>
        <v>11042196.230678014</v>
      </c>
      <c r="L73" s="214">
        <f>30*((L67*$AJ$17)+(L68*$AJ$18)+(L69*$AJ$19)+(L70*$AJ$20))+'scenario 1'!L73</f>
        <v>11042196.230678014</v>
      </c>
      <c r="M73" s="214">
        <f>30*((M67*$AJ$17)+(M68*$AJ$18)+(M69*$AJ$19)+(M70*$AJ$20))+'scenario 1'!M73</f>
        <v>11042196.230678014</v>
      </c>
      <c r="N73" s="214">
        <f>30*((N67*$AJ$17)+(N68*$AJ$18)+(N69*$AJ$19)+(N70*$AJ$20))+'scenario 1'!N73</f>
        <v>11042196.230678014</v>
      </c>
      <c r="O73" s="214">
        <f>SUM(B73:N73)</f>
        <v>155410462.53237584</v>
      </c>
      <c r="P73" s="164"/>
      <c r="Q73" s="168"/>
      <c r="R73" s="147"/>
      <c r="S73" s="168"/>
      <c r="T73" s="168"/>
      <c r="U73" s="168"/>
      <c r="V73" s="168"/>
      <c r="W73" s="168"/>
      <c r="X73" s="168"/>
      <c r="Y73" s="168"/>
      <c r="Z73" s="168"/>
      <c r="AA73" s="168"/>
      <c r="AB73" s="168"/>
      <c r="AC73" s="168"/>
      <c r="AD73" s="151"/>
      <c r="AE73" s="168"/>
      <c r="AF73" s="168"/>
      <c r="AG73" s="168"/>
      <c r="AH73" s="151"/>
      <c r="AI73" s="168"/>
      <c r="AJ73" s="168"/>
      <c r="AK73" s="168"/>
      <c r="AL73" s="168"/>
      <c r="AM73" s="168"/>
      <c r="AN73" s="168"/>
      <c r="AO73" s="168"/>
      <c r="AP73" s="168"/>
      <c r="AQ73" s="168"/>
      <c r="AR73" s="168"/>
      <c r="AS73" s="168"/>
      <c r="AT73" s="168"/>
      <c r="AU73" s="168"/>
      <c r="AV73" s="168"/>
      <c r="AW73" s="168"/>
      <c r="AX73" s="168"/>
      <c r="AY73" s="168"/>
      <c r="AZ73" s="168"/>
      <c r="BA73" s="168"/>
      <c r="BB73" s="168"/>
      <c r="BC73" s="168"/>
      <c r="BD73" s="168"/>
      <c r="BE73" s="168"/>
      <c r="BF73" s="168"/>
      <c r="BG73" s="168"/>
      <c r="BH73" s="168"/>
      <c r="BI73" s="168"/>
      <c r="BJ73" s="168"/>
      <c r="BK73" s="168"/>
      <c r="BL73" s="168"/>
      <c r="BM73" s="168"/>
      <c r="BN73" s="168"/>
      <c r="BO73" s="168"/>
      <c r="BP73" s="168"/>
      <c r="BQ73" s="168"/>
      <c r="BR73" s="168"/>
    </row>
    <row r="74" spans="1:70" s="157" customFormat="1" ht="15" thickBot="1" x14ac:dyDescent="0.4">
      <c r="A74" s="193" t="s">
        <v>113</v>
      </c>
      <c r="B74" s="214">
        <f t="shared" ref="B74" si="89">B73/1000</f>
        <v>13414.578537390338</v>
      </c>
      <c r="C74" s="214">
        <f t="shared" ref="C74" si="90">C73/1000</f>
        <v>13414.578537390338</v>
      </c>
      <c r="D74" s="214">
        <f t="shared" ref="D74" si="91">D73/1000</f>
        <v>13414.578537390338</v>
      </c>
      <c r="E74" s="214">
        <f t="shared" ref="E74" si="92">E73/1000</f>
        <v>13414.578537390338</v>
      </c>
      <c r="F74" s="214">
        <f t="shared" ref="F74" si="93">F73/1000</f>
        <v>13414.578537390338</v>
      </c>
      <c r="G74" s="214">
        <f t="shared" ref="G74" si="94">G73/1000</f>
        <v>11042.196230678015</v>
      </c>
      <c r="H74" s="214">
        <f t="shared" ref="H74" si="95">H73/1000</f>
        <v>11042.196230678015</v>
      </c>
      <c r="I74" s="214">
        <f t="shared" ref="I74" si="96">I73/1000</f>
        <v>11042.196230678015</v>
      </c>
      <c r="J74" s="214">
        <f t="shared" ref="J74" si="97">J73/1000</f>
        <v>11042.196230678015</v>
      </c>
      <c r="K74" s="214">
        <f t="shared" ref="K74" si="98">K73/1000</f>
        <v>11042.196230678015</v>
      </c>
      <c r="L74" s="214">
        <f t="shared" ref="L74" si="99">L73/1000</f>
        <v>11042.196230678015</v>
      </c>
      <c r="M74" s="214">
        <f t="shared" ref="M74" si="100">M73/1000</f>
        <v>11042.196230678015</v>
      </c>
      <c r="N74" s="214">
        <f t="shared" ref="N74" si="101">N73/1000</f>
        <v>11042.196230678015</v>
      </c>
      <c r="O74" s="214">
        <f t="shared" ref="O74" si="102">O73/1000</f>
        <v>155410.46253237585</v>
      </c>
      <c r="P74" s="164"/>
      <c r="Q74" s="168"/>
      <c r="R74" s="147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51"/>
      <c r="AE74" s="168"/>
      <c r="AF74" s="168"/>
      <c r="AG74" s="168"/>
      <c r="AH74" s="151"/>
      <c r="AI74" s="168"/>
      <c r="AJ74" s="168"/>
      <c r="AK74" s="168"/>
      <c r="AL74" s="168"/>
      <c r="AM74" s="168"/>
      <c r="AN74" s="168"/>
      <c r="AO74" s="168"/>
      <c r="AP74" s="168"/>
      <c r="AQ74" s="168"/>
      <c r="AR74" s="168"/>
      <c r="AS74" s="168"/>
      <c r="AT74" s="168"/>
      <c r="AU74" s="168"/>
      <c r="AV74" s="168"/>
      <c r="AW74" s="168"/>
      <c r="AX74" s="168"/>
      <c r="AY74" s="168"/>
      <c r="AZ74" s="168"/>
      <c r="BA74" s="168"/>
      <c r="BB74" s="168"/>
      <c r="BC74" s="168"/>
      <c r="BD74" s="168"/>
      <c r="BE74" s="168"/>
      <c r="BF74" s="168"/>
      <c r="BG74" s="168"/>
      <c r="BH74" s="168"/>
      <c r="BI74" s="168"/>
      <c r="BJ74" s="168"/>
      <c r="BK74" s="168"/>
      <c r="BL74" s="168"/>
      <c r="BM74" s="168"/>
      <c r="BN74" s="168"/>
      <c r="BO74" s="168"/>
      <c r="BP74" s="168"/>
      <c r="BQ74" s="168"/>
      <c r="BR74" s="168"/>
    </row>
    <row r="75" spans="1:70" s="152" customFormat="1" x14ac:dyDescent="0.35">
      <c r="A75" s="193" t="s">
        <v>64</v>
      </c>
      <c r="B75" s="215">
        <f>B74*$AB$3</f>
        <v>2682915.7074780678</v>
      </c>
      <c r="C75" s="215">
        <f t="shared" ref="C75" si="103">C74*$AB$3</f>
        <v>2682915.7074780678</v>
      </c>
      <c r="D75" s="215">
        <f t="shared" ref="D75" si="104">D74*$AB$3</f>
        <v>2682915.7074780678</v>
      </c>
      <c r="E75" s="215">
        <f t="shared" ref="E75" si="105">E74*$AB$3</f>
        <v>2682915.7074780678</v>
      </c>
      <c r="F75" s="215">
        <f t="shared" ref="F75" si="106">F74*$AB$3</f>
        <v>2682915.7074780678</v>
      </c>
      <c r="G75" s="215">
        <f t="shared" ref="G75" si="107">G74*$AB$3</f>
        <v>2208439.2461356032</v>
      </c>
      <c r="H75" s="215">
        <f t="shared" ref="H75" si="108">H74*$AB$3</f>
        <v>2208439.2461356032</v>
      </c>
      <c r="I75" s="215">
        <f t="shared" ref="I75" si="109">I74*$AB$3</f>
        <v>2208439.2461356032</v>
      </c>
      <c r="J75" s="215">
        <f t="shared" ref="J75" si="110">J74*$AB$3</f>
        <v>2208439.2461356032</v>
      </c>
      <c r="K75" s="215">
        <f t="shared" ref="K75" si="111">K74*$AB$3</f>
        <v>2208439.2461356032</v>
      </c>
      <c r="L75" s="215">
        <f t="shared" ref="L75" si="112">L74*$AB$3</f>
        <v>2208439.2461356032</v>
      </c>
      <c r="M75" s="215">
        <f t="shared" ref="M75" si="113">M74*$AB$3</f>
        <v>2208439.2461356032</v>
      </c>
      <c r="N75" s="215">
        <f t="shared" ref="N75" si="114">N74*$AB$3</f>
        <v>2208439.2461356032</v>
      </c>
      <c r="O75" s="215">
        <f t="shared" ref="O75" si="115">O74*$AB$3</f>
        <v>31082092.506475169</v>
      </c>
      <c r="P75" s="159"/>
      <c r="Q75" s="168"/>
      <c r="R75" s="147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51"/>
      <c r="AE75" s="168"/>
      <c r="AF75" s="168"/>
      <c r="AG75" s="168"/>
      <c r="AH75" s="151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  <c r="BP75" s="168"/>
      <c r="BQ75" s="168"/>
      <c r="BR75" s="168"/>
    </row>
    <row r="76" spans="1:70" s="152" customFormat="1" x14ac:dyDescent="0.35">
      <c r="A76" s="193"/>
      <c r="B76" s="214"/>
      <c r="C76" s="194"/>
      <c r="D76" s="194"/>
      <c r="E76" s="194"/>
      <c r="F76" s="194"/>
      <c r="G76" s="214"/>
      <c r="H76" s="194"/>
      <c r="I76" s="194"/>
      <c r="J76" s="194"/>
      <c r="K76" s="194"/>
      <c r="L76" s="194"/>
      <c r="M76" s="194"/>
      <c r="N76" s="194"/>
      <c r="O76" s="194"/>
      <c r="P76" s="159"/>
      <c r="Q76" s="168"/>
      <c r="R76" s="147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51"/>
      <c r="AE76" s="168"/>
      <c r="AF76" s="168"/>
      <c r="AG76" s="168"/>
      <c r="AH76" s="151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</row>
    <row r="77" spans="1:70" s="152" customFormat="1" ht="15" thickBot="1" x14ac:dyDescent="0.4">
      <c r="A77" s="197"/>
      <c r="B77" s="216"/>
      <c r="C77" s="198"/>
      <c r="D77" s="198"/>
      <c r="E77" s="198"/>
      <c r="F77" s="198"/>
      <c r="G77" s="216"/>
      <c r="H77" s="198"/>
      <c r="I77" s="198"/>
      <c r="J77" s="198"/>
      <c r="K77" s="198"/>
      <c r="L77" s="198"/>
      <c r="M77" s="198"/>
      <c r="N77" s="198"/>
      <c r="O77" s="198"/>
      <c r="P77" s="159"/>
      <c r="Q77" s="168"/>
      <c r="R77" s="147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51"/>
      <c r="AE77" s="168"/>
      <c r="AF77" s="168"/>
      <c r="AG77" s="168"/>
      <c r="AH77" s="151"/>
      <c r="AI77" s="168"/>
      <c r="AJ77" s="168"/>
      <c r="AK77" s="168"/>
      <c r="AL77" s="168"/>
      <c r="AM77" s="168"/>
      <c r="AN77" s="168"/>
      <c r="AO77" s="168"/>
      <c r="AP77" s="168"/>
      <c r="AQ77" s="168"/>
      <c r="AR77" s="168"/>
      <c r="AS77" s="168"/>
      <c r="AT77" s="168"/>
      <c r="AU77" s="168"/>
      <c r="AV77" s="168"/>
      <c r="AW77" s="168"/>
      <c r="AX77" s="168"/>
      <c r="AY77" s="168"/>
      <c r="AZ77" s="168"/>
      <c r="BA77" s="168"/>
      <c r="BB77" s="168"/>
      <c r="BC77" s="168"/>
      <c r="BD77" s="168"/>
      <c r="BE77" s="168"/>
      <c r="BF77" s="168"/>
      <c r="BG77" s="168"/>
      <c r="BH77" s="168"/>
      <c r="BI77" s="168"/>
      <c r="BJ77" s="168"/>
      <c r="BK77" s="168"/>
      <c r="BL77" s="168"/>
      <c r="BM77" s="168"/>
      <c r="BN77" s="168"/>
      <c r="BO77" s="168"/>
      <c r="BP77" s="168"/>
      <c r="BQ77" s="168"/>
      <c r="BR77" s="168"/>
    </row>
    <row r="78" spans="1:70" s="152" customFormat="1" x14ac:dyDescent="0.35">
      <c r="A78" s="187"/>
      <c r="B78" s="212"/>
      <c r="C78" s="179"/>
      <c r="D78" s="179"/>
      <c r="E78" s="179"/>
      <c r="F78" s="179"/>
      <c r="G78" s="212"/>
      <c r="H78" s="179"/>
      <c r="I78" s="179"/>
      <c r="J78" s="179"/>
      <c r="K78" s="179"/>
      <c r="L78" s="179"/>
      <c r="M78" s="179"/>
      <c r="N78" s="179"/>
      <c r="O78" s="179"/>
      <c r="P78" s="160"/>
      <c r="Q78" s="168"/>
      <c r="R78" s="147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51"/>
      <c r="AE78" s="168"/>
      <c r="AF78" s="168"/>
      <c r="AG78" s="168"/>
      <c r="AH78" s="151"/>
      <c r="AI78" s="168"/>
      <c r="AJ78" s="168"/>
      <c r="AK78" s="168"/>
      <c r="AL78" s="168"/>
      <c r="AM78" s="168"/>
      <c r="AN78" s="168"/>
      <c r="AO78" s="168"/>
      <c r="AP78" s="168"/>
      <c r="AQ78" s="168"/>
      <c r="AR78" s="168"/>
      <c r="AS78" s="168"/>
      <c r="AT78" s="168"/>
      <c r="AU78" s="168"/>
      <c r="AV78" s="168"/>
      <c r="AW78" s="168"/>
      <c r="AX78" s="168"/>
      <c r="AY78" s="168"/>
      <c r="AZ78" s="168"/>
      <c r="BA78" s="168"/>
      <c r="BB78" s="168"/>
      <c r="BC78" s="168"/>
      <c r="BD78" s="168"/>
      <c r="BE78" s="168"/>
      <c r="BF78" s="168"/>
      <c r="BG78" s="168"/>
      <c r="BH78" s="168"/>
      <c r="BI78" s="168"/>
      <c r="BJ78" s="168"/>
      <c r="BK78" s="168"/>
      <c r="BL78" s="168"/>
      <c r="BM78" s="168"/>
      <c r="BN78" s="168"/>
      <c r="BO78" s="168"/>
      <c r="BP78" s="168"/>
      <c r="BQ78" s="168"/>
      <c r="BR78" s="168"/>
    </row>
    <row r="79" spans="1:70" s="152" customFormat="1" x14ac:dyDescent="0.35">
      <c r="A79" s="187"/>
      <c r="B79" s="212"/>
      <c r="C79" s="179"/>
      <c r="D79" s="179"/>
      <c r="E79" s="179"/>
      <c r="F79" s="179"/>
      <c r="G79" s="212"/>
      <c r="H79" s="179"/>
      <c r="I79" s="179"/>
      <c r="J79" s="179"/>
      <c r="K79" s="179"/>
      <c r="L79" s="179"/>
      <c r="M79" s="179"/>
      <c r="N79" s="179"/>
      <c r="O79" s="179"/>
      <c r="P79" s="159"/>
      <c r="Q79" s="168"/>
      <c r="R79" s="147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51"/>
      <c r="AE79" s="168"/>
      <c r="AF79" s="168"/>
      <c r="AG79" s="168"/>
      <c r="AH79" s="151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68"/>
      <c r="AT79" s="168"/>
      <c r="AU79" s="168"/>
      <c r="AV79" s="168"/>
      <c r="AW79" s="168"/>
      <c r="AX79" s="168"/>
      <c r="AY79" s="168"/>
      <c r="AZ79" s="168"/>
      <c r="BA79" s="168"/>
      <c r="BB79" s="168"/>
      <c r="BC79" s="168"/>
      <c r="BD79" s="168"/>
      <c r="BE79" s="168"/>
      <c r="BF79" s="168"/>
      <c r="BG79" s="168"/>
      <c r="BH79" s="168"/>
      <c r="BI79" s="168"/>
      <c r="BJ79" s="168"/>
      <c r="BK79" s="168"/>
      <c r="BL79" s="168"/>
      <c r="BM79" s="168"/>
      <c r="BN79" s="168"/>
      <c r="BO79" s="168"/>
      <c r="BP79" s="168"/>
      <c r="BQ79" s="168"/>
      <c r="BR79" s="168"/>
    </row>
    <row r="80" spans="1:70" s="152" customFormat="1" x14ac:dyDescent="0.35">
      <c r="A80" s="180" t="s">
        <v>0</v>
      </c>
      <c r="B80" s="209" t="s">
        <v>7</v>
      </c>
      <c r="C80" s="182" t="s">
        <v>8</v>
      </c>
      <c r="D80" s="182" t="s">
        <v>9</v>
      </c>
      <c r="E80" s="182" t="s">
        <v>10</v>
      </c>
      <c r="F80" s="182" t="s">
        <v>11</v>
      </c>
      <c r="G80" s="209" t="s">
        <v>12</v>
      </c>
      <c r="H80" s="182" t="s">
        <v>13</v>
      </c>
      <c r="I80" s="182" t="s">
        <v>14</v>
      </c>
      <c r="J80" s="182" t="s">
        <v>15</v>
      </c>
      <c r="K80" s="182" t="s">
        <v>16</v>
      </c>
      <c r="L80" s="183" t="s">
        <v>17</v>
      </c>
      <c r="M80" s="184" t="s">
        <v>23</v>
      </c>
      <c r="N80" s="184" t="s">
        <v>24</v>
      </c>
      <c r="O80" s="185" t="s">
        <v>18</v>
      </c>
      <c r="P80" s="159"/>
      <c r="Q80" s="168"/>
      <c r="R80" s="147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51"/>
      <c r="AE80" s="168"/>
      <c r="AF80" s="168"/>
      <c r="AG80" s="168"/>
      <c r="AH80" s="151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68"/>
      <c r="AT80" s="168"/>
      <c r="AU80" s="168"/>
      <c r="AV80" s="168"/>
      <c r="AW80" s="168"/>
      <c r="AX80" s="168"/>
      <c r="AY80" s="168"/>
      <c r="AZ80" s="168"/>
      <c r="BA80" s="168"/>
      <c r="BB80" s="168"/>
      <c r="BC80" s="168"/>
      <c r="BD80" s="168"/>
      <c r="BE80" s="168"/>
      <c r="BF80" s="168"/>
      <c r="BG80" s="168"/>
      <c r="BH80" s="168"/>
      <c r="BI80" s="168"/>
      <c r="BJ80" s="168"/>
      <c r="BK80" s="168"/>
      <c r="BL80" s="168"/>
      <c r="BM80" s="168"/>
      <c r="BN80" s="168"/>
      <c r="BO80" s="168"/>
      <c r="BP80" s="168"/>
      <c r="BQ80" s="168"/>
      <c r="BR80" s="168"/>
    </row>
    <row r="81" spans="1:70" s="152" customFormat="1" x14ac:dyDescent="0.35">
      <c r="A81" s="154" t="s">
        <v>31</v>
      </c>
      <c r="B81" s="217">
        <v>1720</v>
      </c>
      <c r="C81" s="199">
        <v>1720</v>
      </c>
      <c r="D81" s="199">
        <v>1720</v>
      </c>
      <c r="E81" s="199">
        <v>1720</v>
      </c>
      <c r="F81" s="199">
        <v>1720</v>
      </c>
      <c r="G81" s="217">
        <v>1720</v>
      </c>
      <c r="H81" s="199">
        <v>1720</v>
      </c>
      <c r="I81" s="199">
        <v>1720</v>
      </c>
      <c r="J81" s="199">
        <v>1720</v>
      </c>
      <c r="K81" s="199">
        <v>1720</v>
      </c>
      <c r="L81" s="199">
        <v>1720</v>
      </c>
      <c r="M81" s="199">
        <v>1720</v>
      </c>
      <c r="N81" s="199">
        <v>1720</v>
      </c>
      <c r="O81" s="200">
        <f>SUM(B81:N81)</f>
        <v>22360</v>
      </c>
      <c r="P81" s="159"/>
      <c r="Q81" s="168"/>
      <c r="R81" s="147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168"/>
      <c r="AD81" s="151"/>
      <c r="AE81" s="168"/>
      <c r="AF81" s="168"/>
      <c r="AG81" s="168"/>
      <c r="AH81" s="151"/>
      <c r="AI81" s="168"/>
      <c r="AJ81" s="168"/>
      <c r="AK81" s="168"/>
      <c r="AL81" s="168"/>
      <c r="AM81" s="168"/>
      <c r="AN81" s="168"/>
      <c r="AO81" s="168"/>
      <c r="AP81" s="168"/>
      <c r="AQ81" s="168"/>
      <c r="AR81" s="168"/>
      <c r="AS81" s="168"/>
      <c r="AT81" s="168"/>
      <c r="AU81" s="168"/>
      <c r="AV81" s="168"/>
      <c r="AW81" s="168"/>
      <c r="AX81" s="168"/>
      <c r="AY81" s="168"/>
      <c r="AZ81" s="168"/>
      <c r="BA81" s="168"/>
      <c r="BB81" s="168"/>
      <c r="BC81" s="168"/>
      <c r="BD81" s="168"/>
      <c r="BE81" s="168"/>
      <c r="BF81" s="168"/>
      <c r="BG81" s="168"/>
      <c r="BH81" s="168"/>
      <c r="BI81" s="168"/>
      <c r="BJ81" s="168"/>
      <c r="BK81" s="168"/>
      <c r="BL81" s="168"/>
      <c r="BM81" s="168"/>
      <c r="BN81" s="168"/>
      <c r="BO81" s="168"/>
      <c r="BP81" s="168"/>
      <c r="BQ81" s="168"/>
      <c r="BR81" s="168"/>
    </row>
    <row r="82" spans="1:70" s="158" customFormat="1" x14ac:dyDescent="0.35">
      <c r="A82" s="187" t="s">
        <v>20</v>
      </c>
      <c r="B82" s="218">
        <f>'housing proportion projections'!I31</f>
        <v>184.64770689213427</v>
      </c>
      <c r="C82" s="218">
        <f>'housing proportion projections'!J31</f>
        <v>184.64770689213427</v>
      </c>
      <c r="D82" s="218">
        <f>'housing proportion projections'!K31</f>
        <v>184.64770689213427</v>
      </c>
      <c r="E82" s="218">
        <f>'housing proportion projections'!L31</f>
        <v>184.64770689213427</v>
      </c>
      <c r="F82" s="218">
        <f>'housing proportion projections'!M31</f>
        <v>184.64770689213427</v>
      </c>
      <c r="G82" s="218">
        <f>'housing proportion projections'!N31</f>
        <v>184.64770689213427</v>
      </c>
      <c r="H82" s="218">
        <f>'housing proportion projections'!O31</f>
        <v>184.64770689213427</v>
      </c>
      <c r="I82" s="218">
        <f>'housing proportion projections'!P31</f>
        <v>184.64770689213427</v>
      </c>
      <c r="J82" s="218">
        <f>'housing proportion projections'!Q31</f>
        <v>184.64770689213427</v>
      </c>
      <c r="K82" s="218">
        <f>'housing proportion projections'!R31</f>
        <v>184.64770689213427</v>
      </c>
      <c r="L82" s="218">
        <f>'housing proportion projections'!S31</f>
        <v>184.64770689213427</v>
      </c>
      <c r="M82" s="218">
        <f>'housing proportion projections'!T31</f>
        <v>184.64770689213427</v>
      </c>
      <c r="N82" s="218">
        <f>'housing proportion projections'!U31</f>
        <v>184.64770689213427</v>
      </c>
      <c r="O82" s="200">
        <f t="shared" ref="O82:O85" si="116">SUM(B82:N82)</f>
        <v>2400.4201895977458</v>
      </c>
      <c r="P82" s="167"/>
      <c r="Q82" s="168"/>
      <c r="R82" s="147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51"/>
      <c r="AE82" s="168"/>
      <c r="AF82" s="168"/>
      <c r="AG82" s="168"/>
      <c r="AH82" s="151"/>
      <c r="AI82" s="168"/>
      <c r="AJ82" s="168"/>
      <c r="AK82" s="168"/>
      <c r="AL82" s="168"/>
      <c r="AM82" s="168"/>
      <c r="AN82" s="168"/>
      <c r="AO82" s="168"/>
      <c r="AP82" s="168"/>
      <c r="AQ82" s="168"/>
      <c r="AR82" s="168"/>
      <c r="AS82" s="168"/>
      <c r="AT82" s="168"/>
      <c r="AU82" s="168"/>
      <c r="AV82" s="168"/>
      <c r="AW82" s="168"/>
      <c r="AX82" s="168"/>
      <c r="AY82" s="168"/>
      <c r="AZ82" s="168"/>
      <c r="BA82" s="168"/>
      <c r="BB82" s="168"/>
      <c r="BC82" s="168"/>
      <c r="BD82" s="168"/>
      <c r="BE82" s="168"/>
      <c r="BF82" s="168"/>
      <c r="BG82" s="168"/>
      <c r="BH82" s="168"/>
      <c r="BI82" s="168"/>
      <c r="BJ82" s="168"/>
      <c r="BK82" s="168"/>
      <c r="BL82" s="168"/>
      <c r="BM82" s="168"/>
      <c r="BN82" s="168"/>
      <c r="BO82" s="168"/>
      <c r="BP82" s="168"/>
      <c r="BQ82" s="168"/>
      <c r="BR82" s="168"/>
    </row>
    <row r="83" spans="1:70" s="152" customFormat="1" ht="15" thickBot="1" x14ac:dyDescent="0.4">
      <c r="A83" s="187" t="s">
        <v>21</v>
      </c>
      <c r="B83" s="218">
        <f>'housing proportion projections'!I32</f>
        <v>477.70433000256213</v>
      </c>
      <c r="C83" s="218">
        <f>'housing proportion projections'!J32</f>
        <v>477.70433000256213</v>
      </c>
      <c r="D83" s="218">
        <f>'housing proportion projections'!K32</f>
        <v>477.70433000256213</v>
      </c>
      <c r="E83" s="218">
        <f>'housing proportion projections'!L32</f>
        <v>477.70433000256213</v>
      </c>
      <c r="F83" s="218">
        <f>'housing proportion projections'!M32</f>
        <v>477.70433000256213</v>
      </c>
      <c r="G83" s="218">
        <f>'housing proportion projections'!N32</f>
        <v>477.70433000256213</v>
      </c>
      <c r="H83" s="218">
        <f>'housing proportion projections'!O32</f>
        <v>477.70433000256213</v>
      </c>
      <c r="I83" s="218">
        <f>'housing proportion projections'!P32</f>
        <v>477.70433000256213</v>
      </c>
      <c r="J83" s="218">
        <f>'housing proportion projections'!Q32</f>
        <v>477.70433000256213</v>
      </c>
      <c r="K83" s="218">
        <f>'housing proportion projections'!R32</f>
        <v>477.70433000256213</v>
      </c>
      <c r="L83" s="218">
        <f>'housing proportion projections'!S32</f>
        <v>477.70433000256213</v>
      </c>
      <c r="M83" s="218">
        <f>'housing proportion projections'!T32</f>
        <v>477.70433000256213</v>
      </c>
      <c r="N83" s="218">
        <f>'housing proportion projections'!U32</f>
        <v>477.70433000256213</v>
      </c>
      <c r="O83" s="200">
        <f t="shared" si="116"/>
        <v>6210.1562900333092</v>
      </c>
      <c r="P83" s="159"/>
      <c r="Q83" s="168"/>
      <c r="R83" s="147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51"/>
      <c r="AE83" s="168"/>
      <c r="AF83" s="168"/>
      <c r="AG83" s="168"/>
      <c r="AH83" s="151"/>
      <c r="AI83" s="168"/>
      <c r="AJ83" s="168"/>
      <c r="AK83" s="168"/>
      <c r="AL83" s="168"/>
      <c r="AM83" s="168"/>
      <c r="AN83" s="168"/>
      <c r="AO83" s="168"/>
      <c r="AP83" s="168"/>
      <c r="AQ83" s="168"/>
      <c r="AR83" s="168"/>
      <c r="AS83" s="168"/>
      <c r="AT83" s="168"/>
      <c r="AU83" s="168"/>
      <c r="AV83" s="168"/>
      <c r="AW83" s="168"/>
      <c r="AX83" s="168"/>
      <c r="AY83" s="168"/>
      <c r="AZ83" s="168"/>
      <c r="BA83" s="168"/>
      <c r="BB83" s="168"/>
      <c r="BC83" s="168"/>
      <c r="BD83" s="168"/>
      <c r="BE83" s="168"/>
      <c r="BF83" s="168"/>
      <c r="BG83" s="168"/>
      <c r="BH83" s="168"/>
      <c r="BI83" s="168"/>
      <c r="BJ83" s="168"/>
      <c r="BK83" s="168"/>
      <c r="BL83" s="168"/>
      <c r="BM83" s="168"/>
      <c r="BN83" s="168"/>
      <c r="BO83" s="168"/>
      <c r="BP83" s="168"/>
      <c r="BQ83" s="168"/>
      <c r="BR83" s="168"/>
    </row>
    <row r="84" spans="1:70" s="156" customFormat="1" x14ac:dyDescent="0.35">
      <c r="A84" s="187" t="s">
        <v>26</v>
      </c>
      <c r="B84" s="218">
        <f>'housing proportion projections'!I33</f>
        <v>529.99914595610221</v>
      </c>
      <c r="C84" s="218">
        <f>'housing proportion projections'!J33</f>
        <v>529.99914595610221</v>
      </c>
      <c r="D84" s="218">
        <f>'housing proportion projections'!K33</f>
        <v>529.99914595610221</v>
      </c>
      <c r="E84" s="218">
        <f>'housing proportion projections'!L33</f>
        <v>529.99914595610221</v>
      </c>
      <c r="F84" s="218">
        <f>'housing proportion projections'!M33</f>
        <v>529.99914595610221</v>
      </c>
      <c r="G84" s="218">
        <f>'housing proportion projections'!N33</f>
        <v>529.99914595610221</v>
      </c>
      <c r="H84" s="218">
        <f>'housing proportion projections'!O33</f>
        <v>529.99914595610221</v>
      </c>
      <c r="I84" s="218">
        <f>'housing proportion projections'!P33</f>
        <v>529.99914595610221</v>
      </c>
      <c r="J84" s="218">
        <f>'housing proportion projections'!Q33</f>
        <v>529.99914595610221</v>
      </c>
      <c r="K84" s="218">
        <f>'housing proportion projections'!R33</f>
        <v>529.99914595610221</v>
      </c>
      <c r="L84" s="218">
        <f>'housing proportion projections'!S33</f>
        <v>529.99914595610221</v>
      </c>
      <c r="M84" s="218">
        <f>'housing proportion projections'!T33</f>
        <v>529.99914595610221</v>
      </c>
      <c r="N84" s="218">
        <f>'housing proportion projections'!U33</f>
        <v>529.99914595610221</v>
      </c>
      <c r="O84" s="200">
        <f t="shared" si="116"/>
        <v>6889.9888974293308</v>
      </c>
      <c r="P84" s="161"/>
      <c r="Q84" s="168"/>
      <c r="R84" s="147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51"/>
      <c r="AE84" s="168"/>
      <c r="AF84" s="168"/>
      <c r="AG84" s="168"/>
      <c r="AH84" s="151"/>
      <c r="AI84" s="168"/>
      <c r="AJ84" s="168"/>
      <c r="AK84" s="168"/>
      <c r="AL84" s="168"/>
      <c r="AM84" s="168"/>
      <c r="AN84" s="168"/>
      <c r="AO84" s="168"/>
      <c r="AP84" s="168"/>
      <c r="AQ84" s="168"/>
      <c r="AR84" s="168"/>
      <c r="AS84" s="168"/>
      <c r="AT84" s="168"/>
      <c r="AU84" s="168"/>
      <c r="AV84" s="168"/>
      <c r="AW84" s="168"/>
      <c r="AX84" s="168"/>
      <c r="AY84" s="168"/>
      <c r="AZ84" s="168"/>
      <c r="BA84" s="168"/>
      <c r="BB84" s="168"/>
      <c r="BC84" s="168"/>
      <c r="BD84" s="168"/>
      <c r="BE84" s="168"/>
      <c r="BF84" s="168"/>
      <c r="BG84" s="168"/>
      <c r="BH84" s="168"/>
      <c r="BI84" s="168"/>
      <c r="BJ84" s="168"/>
      <c r="BK84" s="168"/>
      <c r="BL84" s="168"/>
      <c r="BM84" s="168"/>
      <c r="BN84" s="168"/>
      <c r="BO84" s="168"/>
      <c r="BP84" s="168"/>
      <c r="BQ84" s="168"/>
      <c r="BR84" s="168"/>
    </row>
    <row r="85" spans="1:70" s="155" customFormat="1" x14ac:dyDescent="0.35">
      <c r="A85" s="190" t="s">
        <v>22</v>
      </c>
      <c r="B85" s="218">
        <f>'housing proportion projections'!I34</f>
        <v>527.79571269963276</v>
      </c>
      <c r="C85" s="218">
        <f>'housing proportion projections'!J34</f>
        <v>527.79571269963276</v>
      </c>
      <c r="D85" s="218">
        <f>'housing proportion projections'!K34</f>
        <v>527.79571269963276</v>
      </c>
      <c r="E85" s="218">
        <f>'housing proportion projections'!L34</f>
        <v>527.79571269963276</v>
      </c>
      <c r="F85" s="218">
        <f>'housing proportion projections'!M34</f>
        <v>527.79571269963276</v>
      </c>
      <c r="G85" s="218">
        <f>'housing proportion projections'!N34</f>
        <v>527.79571269963276</v>
      </c>
      <c r="H85" s="218">
        <f>'housing proportion projections'!O34</f>
        <v>527.79571269963276</v>
      </c>
      <c r="I85" s="218">
        <f>'housing proportion projections'!P34</f>
        <v>527.79571269963276</v>
      </c>
      <c r="J85" s="218">
        <f>'housing proportion projections'!Q34</f>
        <v>527.79571269963276</v>
      </c>
      <c r="K85" s="218">
        <f>'housing proportion projections'!R34</f>
        <v>527.79571269963276</v>
      </c>
      <c r="L85" s="218">
        <f>'housing proportion projections'!S34</f>
        <v>527.79571269963276</v>
      </c>
      <c r="M85" s="218">
        <f>'housing proportion projections'!T34</f>
        <v>527.79571269963276</v>
      </c>
      <c r="N85" s="218">
        <f>'housing proportion projections'!U34</f>
        <v>527.79571269963276</v>
      </c>
      <c r="O85" s="200">
        <f t="shared" si="116"/>
        <v>6861.3442650952238</v>
      </c>
      <c r="P85" s="162"/>
      <c r="Q85" s="168"/>
      <c r="R85" s="147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51"/>
      <c r="AE85" s="168"/>
      <c r="AF85" s="168"/>
      <c r="AG85" s="168"/>
      <c r="AH85" s="151"/>
      <c r="AI85" s="168"/>
      <c r="AJ85" s="168"/>
      <c r="AK85" s="168"/>
      <c r="AL85" s="168"/>
      <c r="AM85" s="168"/>
      <c r="AN85" s="168"/>
      <c r="AO85" s="168"/>
      <c r="AP85" s="168"/>
      <c r="AQ85" s="168"/>
      <c r="AR85" s="168"/>
      <c r="AS85" s="168"/>
      <c r="AT85" s="168"/>
      <c r="AU85" s="168"/>
      <c r="AV85" s="168"/>
      <c r="AW85" s="168"/>
      <c r="AX85" s="168"/>
      <c r="AY85" s="168"/>
      <c r="AZ85" s="168"/>
      <c r="BA85" s="168"/>
      <c r="BB85" s="168"/>
      <c r="BC85" s="168"/>
      <c r="BD85" s="168"/>
      <c r="BE85" s="168"/>
      <c r="BF85" s="168"/>
      <c r="BG85" s="168"/>
      <c r="BH85" s="168"/>
      <c r="BI85" s="168"/>
      <c r="BJ85" s="168"/>
      <c r="BK85" s="168"/>
      <c r="BL85" s="168"/>
      <c r="BM85" s="168"/>
      <c r="BN85" s="168"/>
      <c r="BO85" s="168"/>
      <c r="BP85" s="168"/>
      <c r="BQ85" s="168"/>
      <c r="BR85" s="168"/>
    </row>
    <row r="86" spans="1:70" s="155" customFormat="1" ht="15" thickBot="1" x14ac:dyDescent="0.4">
      <c r="A86" s="179"/>
      <c r="B86" s="212"/>
      <c r="C86" s="179"/>
      <c r="D86" s="179"/>
      <c r="E86" s="179"/>
      <c r="F86" s="179"/>
      <c r="G86" s="212"/>
      <c r="H86" s="179"/>
      <c r="I86" s="179"/>
      <c r="J86" s="179"/>
      <c r="K86" s="179"/>
      <c r="L86" s="179"/>
      <c r="M86" s="179"/>
      <c r="N86" s="179"/>
      <c r="O86" s="179"/>
      <c r="P86" s="163"/>
      <c r="Q86" s="168"/>
      <c r="R86" s="147"/>
      <c r="S86" s="168"/>
      <c r="T86" s="168"/>
      <c r="U86" s="168"/>
      <c r="V86" s="168"/>
      <c r="W86" s="168"/>
      <c r="X86" s="168"/>
      <c r="Y86" s="168"/>
      <c r="Z86" s="168"/>
      <c r="AA86" s="168"/>
      <c r="AB86" s="168"/>
      <c r="AC86" s="168"/>
      <c r="AD86" s="151"/>
      <c r="AE86" s="168"/>
      <c r="AF86" s="168"/>
      <c r="AG86" s="168"/>
      <c r="AH86" s="151"/>
      <c r="AI86" s="168"/>
      <c r="AJ86" s="168"/>
      <c r="AK86" s="168"/>
      <c r="AL86" s="168"/>
      <c r="AM86" s="168"/>
      <c r="AN86" s="168"/>
      <c r="AO86" s="168"/>
      <c r="AP86" s="168"/>
      <c r="AQ86" s="168"/>
      <c r="AR86" s="168"/>
      <c r="AS86" s="168"/>
      <c r="AT86" s="168"/>
      <c r="AU86" s="168"/>
      <c r="AV86" s="168"/>
      <c r="AW86" s="168"/>
      <c r="AX86" s="168"/>
      <c r="AY86" s="168"/>
      <c r="AZ86" s="168"/>
      <c r="BA86" s="168"/>
      <c r="BB86" s="168"/>
      <c r="BC86" s="168"/>
      <c r="BD86" s="168"/>
      <c r="BE86" s="168"/>
      <c r="BF86" s="168"/>
      <c r="BG86" s="168"/>
      <c r="BH86" s="168"/>
      <c r="BI86" s="168"/>
      <c r="BJ86" s="168"/>
      <c r="BK86" s="168"/>
      <c r="BL86" s="168"/>
      <c r="BM86" s="168"/>
      <c r="BN86" s="168"/>
      <c r="BO86" s="168"/>
      <c r="BP86" s="168"/>
      <c r="BQ86" s="168"/>
      <c r="BR86" s="168"/>
    </row>
    <row r="87" spans="1:70" s="155" customFormat="1" x14ac:dyDescent="0.35">
      <c r="A87" s="191" t="s">
        <v>134</v>
      </c>
      <c r="B87" s="213"/>
      <c r="C87" s="192"/>
      <c r="D87" s="192"/>
      <c r="E87" s="192"/>
      <c r="F87" s="192"/>
      <c r="G87" s="213"/>
      <c r="H87" s="192"/>
      <c r="I87" s="192"/>
      <c r="J87" s="192"/>
      <c r="K87" s="192"/>
      <c r="L87" s="192"/>
      <c r="M87" s="192"/>
      <c r="N87" s="192"/>
      <c r="O87" s="192"/>
      <c r="P87" s="162"/>
      <c r="Q87" s="168"/>
      <c r="R87" s="147"/>
      <c r="S87" s="168"/>
      <c r="T87" s="168"/>
      <c r="U87" s="168"/>
      <c r="V87" s="168"/>
      <c r="W87" s="168"/>
      <c r="X87" s="168"/>
      <c r="Y87" s="168"/>
      <c r="Z87" s="168"/>
      <c r="AA87" s="168"/>
      <c r="AB87" s="168"/>
      <c r="AC87" s="168"/>
      <c r="AD87" s="151"/>
      <c r="AE87" s="168"/>
      <c r="AF87" s="168"/>
      <c r="AG87" s="168"/>
      <c r="AH87" s="151"/>
      <c r="AI87" s="168"/>
      <c r="AJ87" s="168"/>
      <c r="AK87" s="168"/>
      <c r="AL87" s="168"/>
      <c r="AM87" s="168"/>
      <c r="AN87" s="168"/>
      <c r="AO87" s="168"/>
      <c r="AP87" s="168"/>
      <c r="AQ87" s="168"/>
      <c r="AR87" s="168"/>
      <c r="AS87" s="168"/>
      <c r="AT87" s="168"/>
      <c r="AU87" s="168"/>
      <c r="AV87" s="168"/>
      <c r="AW87" s="168"/>
      <c r="AX87" s="168"/>
      <c r="AY87" s="168"/>
      <c r="AZ87" s="168"/>
      <c r="BA87" s="168"/>
      <c r="BB87" s="168"/>
      <c r="BC87" s="168"/>
      <c r="BD87" s="168"/>
      <c r="BE87" s="168"/>
      <c r="BF87" s="168"/>
      <c r="BG87" s="168"/>
      <c r="BH87" s="168"/>
      <c r="BI87" s="168"/>
      <c r="BJ87" s="168"/>
      <c r="BK87" s="168"/>
      <c r="BL87" s="168"/>
      <c r="BM87" s="168"/>
      <c r="BN87" s="168"/>
      <c r="BO87" s="168"/>
      <c r="BP87" s="168"/>
      <c r="BQ87" s="168"/>
      <c r="BR87" s="168"/>
    </row>
    <row r="88" spans="1:70" s="157" customFormat="1" ht="15" thickBot="1" x14ac:dyDescent="0.4">
      <c r="A88" s="193" t="s">
        <v>112</v>
      </c>
      <c r="B88" s="214">
        <f>30*((B82*$AF$17)+(B83*$AF$18)+(B84*$AF$19)+(B85*$AF$20))+'scenario 1'!B88</f>
        <v>33577781.550779097</v>
      </c>
      <c r="C88" s="214">
        <f>30*((C82*$AF$17)+(C83*$AF$18)+(C84*$AF$19)+(C85*$AF$20))+'scenario 1'!C88</f>
        <v>33577781.550779097</v>
      </c>
      <c r="D88" s="214">
        <f>30*((D82*$AF$17)+(D83*$AF$18)+(D84*$AF$19)+(D85*$AF$20))+'scenario 1'!D88</f>
        <v>33577781.550779097</v>
      </c>
      <c r="E88" s="214">
        <f>30*((E82*$AF$17)+(E83*$AF$18)+(E84*$AF$19)+(E85*$AF$20))+'scenario 1'!E88</f>
        <v>33577781.550779097</v>
      </c>
      <c r="F88" s="214">
        <f>30*((F82*$AF$17)+(F83*$AF$18)+(F84*$AF$19)+(F85*$AF$20))+'scenario 1'!F88</f>
        <v>33577781.550779097</v>
      </c>
      <c r="G88" s="214">
        <f>30*((G82*$AJ$17)+(G83*$AJ$18)+(G84*$AJ$19)+(G85*$AJ$20))+'scenario 1'!G88</f>
        <v>27550465.997085944</v>
      </c>
      <c r="H88" s="214">
        <f>30*((H82*$AJ$17)+(H83*$AJ$18)+(H84*$AJ$19)+(H85*$AJ$20))+'scenario 1'!H88</f>
        <v>27550465.997085944</v>
      </c>
      <c r="I88" s="214">
        <f>30*((I82*$AJ$17)+(I83*$AJ$18)+(I84*$AJ$19)+(I85*$AJ$20))+'scenario 1'!I88</f>
        <v>27550465.997085944</v>
      </c>
      <c r="J88" s="214">
        <f>30*((J82*$AJ$17)+(J83*$AJ$18)+(J84*$AJ$19)+(J85*$AJ$20))+'scenario 1'!J88</f>
        <v>27550465.997085944</v>
      </c>
      <c r="K88" s="214">
        <f>30*((K82*$AJ$17)+(K83*$AJ$18)+(K84*$AJ$19)+(K85*$AJ$20))+'scenario 1'!K88</f>
        <v>27550465.997085944</v>
      </c>
      <c r="L88" s="214">
        <f>30*((L82*$AJ$17)+(L83*$AJ$18)+(L84*$AJ$19)+(L85*$AJ$20))+'scenario 1'!L88</f>
        <v>27550465.997085944</v>
      </c>
      <c r="M88" s="214">
        <f>30*((M82*$AJ$17)+(M83*$AJ$18)+(M84*$AJ$19)+(M85*$AJ$20))+'scenario 1'!M88</f>
        <v>27550465.997085944</v>
      </c>
      <c r="N88" s="214">
        <f>30*((N82*$AJ$17)+(N83*$AJ$18)+(N84*$AJ$19)+(N85*$AJ$20))+'scenario 1'!N88</f>
        <v>27550465.997085944</v>
      </c>
      <c r="O88" s="214">
        <f>SUM(B88:N88)</f>
        <v>388292635.73058295</v>
      </c>
      <c r="P88" s="164"/>
      <c r="Q88" s="168"/>
      <c r="R88" s="147"/>
      <c r="S88" s="168"/>
      <c r="T88" s="168"/>
      <c r="U88" s="168"/>
      <c r="V88" s="168"/>
      <c r="W88" s="168"/>
      <c r="X88" s="168"/>
      <c r="Y88" s="168"/>
      <c r="Z88" s="168"/>
      <c r="AA88" s="168"/>
      <c r="AB88" s="168"/>
      <c r="AC88" s="168"/>
      <c r="AD88" s="151"/>
      <c r="AE88" s="168"/>
      <c r="AF88" s="168"/>
      <c r="AG88" s="168"/>
      <c r="AH88" s="151"/>
      <c r="AI88" s="168"/>
      <c r="AJ88" s="168"/>
      <c r="AK88" s="168"/>
      <c r="AL88" s="168"/>
      <c r="AM88" s="168"/>
      <c r="AN88" s="168"/>
      <c r="AO88" s="168"/>
      <c r="AP88" s="168"/>
      <c r="AQ88" s="168"/>
      <c r="AR88" s="168"/>
      <c r="AS88" s="168"/>
      <c r="AT88" s="168"/>
      <c r="AU88" s="168"/>
      <c r="AV88" s="168"/>
      <c r="AW88" s="168"/>
      <c r="AX88" s="168"/>
      <c r="AY88" s="168"/>
      <c r="AZ88" s="168"/>
      <c r="BA88" s="168"/>
      <c r="BB88" s="168"/>
      <c r="BC88" s="168"/>
      <c r="BD88" s="168"/>
      <c r="BE88" s="168"/>
      <c r="BF88" s="168"/>
      <c r="BG88" s="168"/>
      <c r="BH88" s="168"/>
      <c r="BI88" s="168"/>
      <c r="BJ88" s="168"/>
      <c r="BK88" s="168"/>
      <c r="BL88" s="168"/>
      <c r="BM88" s="168"/>
      <c r="BN88" s="168"/>
      <c r="BO88" s="168"/>
      <c r="BP88" s="168"/>
      <c r="BQ88" s="168"/>
      <c r="BR88" s="168"/>
    </row>
    <row r="89" spans="1:70" s="157" customFormat="1" ht="15" thickBot="1" x14ac:dyDescent="0.4">
      <c r="A89" s="193" t="s">
        <v>113</v>
      </c>
      <c r="B89" s="214">
        <f t="shared" ref="B89" si="117">B88/1000</f>
        <v>33577.781550779095</v>
      </c>
      <c r="C89" s="214">
        <f t="shared" ref="C89" si="118">C88/1000</f>
        <v>33577.781550779095</v>
      </c>
      <c r="D89" s="214">
        <f t="shared" ref="D89" si="119">D88/1000</f>
        <v>33577.781550779095</v>
      </c>
      <c r="E89" s="214">
        <f t="shared" ref="E89" si="120">E88/1000</f>
        <v>33577.781550779095</v>
      </c>
      <c r="F89" s="214">
        <f t="shared" ref="F89" si="121">F88/1000</f>
        <v>33577.781550779095</v>
      </c>
      <c r="G89" s="214">
        <f t="shared" ref="G89" si="122">G88/1000</f>
        <v>27550.465997085943</v>
      </c>
      <c r="H89" s="214">
        <f t="shared" ref="H89" si="123">H88/1000</f>
        <v>27550.465997085943</v>
      </c>
      <c r="I89" s="214">
        <f t="shared" ref="I89" si="124">I88/1000</f>
        <v>27550.465997085943</v>
      </c>
      <c r="J89" s="214">
        <f t="shared" ref="J89" si="125">J88/1000</f>
        <v>27550.465997085943</v>
      </c>
      <c r="K89" s="214">
        <f t="shared" ref="K89" si="126">K88/1000</f>
        <v>27550.465997085943</v>
      </c>
      <c r="L89" s="214">
        <f t="shared" ref="L89" si="127">L88/1000</f>
        <v>27550.465997085943</v>
      </c>
      <c r="M89" s="214">
        <f t="shared" ref="M89" si="128">M88/1000</f>
        <v>27550.465997085943</v>
      </c>
      <c r="N89" s="214">
        <f t="shared" ref="N89" si="129">N88/1000</f>
        <v>27550.465997085943</v>
      </c>
      <c r="O89" s="214">
        <f t="shared" ref="O89" si="130">O88/1000</f>
        <v>388292.63573058293</v>
      </c>
      <c r="P89" s="164"/>
      <c r="Q89" s="168"/>
      <c r="R89" s="147"/>
      <c r="S89" s="168"/>
      <c r="T89" s="168"/>
      <c r="U89" s="168"/>
      <c r="V89" s="168"/>
      <c r="W89" s="168"/>
      <c r="X89" s="168"/>
      <c r="Y89" s="168"/>
      <c r="Z89" s="168"/>
      <c r="AA89" s="168"/>
      <c r="AB89" s="168"/>
      <c r="AC89" s="168"/>
      <c r="AD89" s="151"/>
      <c r="AE89" s="168"/>
      <c r="AF89" s="168"/>
      <c r="AG89" s="168"/>
      <c r="AH89" s="151"/>
      <c r="AI89" s="168"/>
      <c r="AJ89" s="168"/>
      <c r="AK89" s="168"/>
      <c r="AL89" s="168"/>
      <c r="AM89" s="168"/>
      <c r="AN89" s="168"/>
      <c r="AO89" s="168"/>
      <c r="AP89" s="168"/>
      <c r="AQ89" s="168"/>
      <c r="AR89" s="168"/>
      <c r="AS89" s="168"/>
      <c r="AT89" s="168"/>
      <c r="AU89" s="168"/>
      <c r="AV89" s="168"/>
      <c r="AW89" s="168"/>
      <c r="AX89" s="168"/>
      <c r="AY89" s="168"/>
      <c r="AZ89" s="168"/>
      <c r="BA89" s="168"/>
      <c r="BB89" s="168"/>
      <c r="BC89" s="168"/>
      <c r="BD89" s="168"/>
      <c r="BE89" s="168"/>
      <c r="BF89" s="168"/>
      <c r="BG89" s="168"/>
      <c r="BH89" s="168"/>
      <c r="BI89" s="168"/>
      <c r="BJ89" s="168"/>
      <c r="BK89" s="168"/>
      <c r="BL89" s="168"/>
      <c r="BM89" s="168"/>
      <c r="BN89" s="168"/>
      <c r="BO89" s="168"/>
      <c r="BP89" s="168"/>
      <c r="BQ89" s="168"/>
      <c r="BR89" s="168"/>
    </row>
    <row r="90" spans="1:70" s="152" customFormat="1" x14ac:dyDescent="0.35">
      <c r="A90" s="193" t="s">
        <v>64</v>
      </c>
      <c r="B90" s="215">
        <f>B89*$AB$3</f>
        <v>6715556.3101558192</v>
      </c>
      <c r="C90" s="215">
        <f t="shared" ref="C90" si="131">C89*$AB$3</f>
        <v>6715556.3101558192</v>
      </c>
      <c r="D90" s="215">
        <f t="shared" ref="D90" si="132">D89*$AB$3</f>
        <v>6715556.3101558192</v>
      </c>
      <c r="E90" s="215">
        <f t="shared" ref="E90" si="133">E89*$AB$3</f>
        <v>6715556.3101558192</v>
      </c>
      <c r="F90" s="215">
        <f t="shared" ref="F90" si="134">F89*$AB$3</f>
        <v>6715556.3101558192</v>
      </c>
      <c r="G90" s="215">
        <f t="shared" ref="G90" si="135">G89*$AB$3</f>
        <v>5510093.1994171888</v>
      </c>
      <c r="H90" s="215">
        <f t="shared" ref="H90" si="136">H89*$AB$3</f>
        <v>5510093.1994171888</v>
      </c>
      <c r="I90" s="215">
        <f t="shared" ref="I90" si="137">I89*$AB$3</f>
        <v>5510093.1994171888</v>
      </c>
      <c r="J90" s="215">
        <f t="shared" ref="J90" si="138">J89*$AB$3</f>
        <v>5510093.1994171888</v>
      </c>
      <c r="K90" s="215">
        <f t="shared" ref="K90" si="139">K89*$AB$3</f>
        <v>5510093.1994171888</v>
      </c>
      <c r="L90" s="215">
        <f t="shared" ref="L90" si="140">L89*$AB$3</f>
        <v>5510093.1994171888</v>
      </c>
      <c r="M90" s="215">
        <f t="shared" ref="M90" si="141">M89*$AB$3</f>
        <v>5510093.1994171888</v>
      </c>
      <c r="N90" s="215">
        <f t="shared" ref="N90" si="142">N89*$AB$3</f>
        <v>5510093.1994171888</v>
      </c>
      <c r="O90" s="215">
        <f t="shared" ref="O90" si="143">O89*$AB$3</f>
        <v>77658527.146116585</v>
      </c>
      <c r="P90" s="159"/>
      <c r="Q90" s="168"/>
      <c r="R90" s="147"/>
      <c r="S90" s="168"/>
      <c r="T90" s="168"/>
      <c r="U90" s="168"/>
      <c r="V90" s="168"/>
      <c r="W90" s="168"/>
      <c r="X90" s="168"/>
      <c r="Y90" s="168"/>
      <c r="Z90" s="168"/>
      <c r="AA90" s="168"/>
      <c r="AB90" s="168"/>
      <c r="AC90" s="168"/>
      <c r="AD90" s="151"/>
      <c r="AE90" s="168"/>
      <c r="AF90" s="168"/>
      <c r="AG90" s="168"/>
      <c r="AH90" s="151"/>
      <c r="AI90" s="168"/>
      <c r="AJ90" s="168"/>
      <c r="AK90" s="168"/>
      <c r="AL90" s="168"/>
      <c r="AM90" s="168"/>
      <c r="AN90" s="168"/>
      <c r="AO90" s="168"/>
      <c r="AP90" s="168"/>
      <c r="AQ90" s="168"/>
      <c r="AR90" s="168"/>
      <c r="AS90" s="168"/>
      <c r="AT90" s="168"/>
      <c r="AU90" s="168"/>
      <c r="AV90" s="168"/>
      <c r="AW90" s="168"/>
      <c r="AX90" s="168"/>
      <c r="AY90" s="168"/>
      <c r="AZ90" s="168"/>
      <c r="BA90" s="168"/>
      <c r="BB90" s="168"/>
      <c r="BC90" s="168"/>
      <c r="BD90" s="168"/>
      <c r="BE90" s="168"/>
      <c r="BF90" s="168"/>
      <c r="BG90" s="168"/>
      <c r="BH90" s="168"/>
      <c r="BI90" s="168"/>
      <c r="BJ90" s="168"/>
      <c r="BK90" s="168"/>
      <c r="BL90" s="168"/>
      <c r="BM90" s="168"/>
      <c r="BN90" s="168"/>
      <c r="BO90" s="168"/>
      <c r="BP90" s="168"/>
      <c r="BQ90" s="168"/>
      <c r="BR90" s="168"/>
    </row>
    <row r="91" spans="1:70" s="152" customFormat="1" x14ac:dyDescent="0.35">
      <c r="A91" s="193"/>
      <c r="B91" s="214"/>
      <c r="C91" s="194"/>
      <c r="D91" s="194"/>
      <c r="E91" s="194"/>
      <c r="F91" s="194"/>
      <c r="G91" s="214"/>
      <c r="H91" s="194"/>
      <c r="I91" s="194"/>
      <c r="J91" s="194"/>
      <c r="K91" s="194"/>
      <c r="L91" s="194"/>
      <c r="M91" s="194"/>
      <c r="N91" s="194"/>
      <c r="O91" s="194"/>
      <c r="P91" s="159"/>
      <c r="Q91" s="168"/>
      <c r="R91" s="147"/>
      <c r="S91" s="168"/>
      <c r="T91" s="168"/>
      <c r="U91" s="168"/>
      <c r="V91" s="168"/>
      <c r="W91" s="168"/>
      <c r="X91" s="168"/>
      <c r="Y91" s="168"/>
      <c r="Z91" s="168"/>
      <c r="AA91" s="168"/>
      <c r="AB91" s="168"/>
      <c r="AC91" s="168"/>
      <c r="AD91" s="151"/>
      <c r="AE91" s="168"/>
      <c r="AF91" s="168"/>
      <c r="AG91" s="168"/>
      <c r="AH91" s="151"/>
      <c r="AI91" s="168"/>
      <c r="AJ91" s="168"/>
      <c r="AK91" s="168"/>
      <c r="AL91" s="168"/>
      <c r="AM91" s="168"/>
      <c r="AN91" s="168"/>
      <c r="AO91" s="168"/>
      <c r="AP91" s="168"/>
      <c r="AQ91" s="168"/>
      <c r="AR91" s="168"/>
      <c r="AS91" s="168"/>
      <c r="AT91" s="168"/>
      <c r="AU91" s="168"/>
      <c r="AV91" s="168"/>
      <c r="AW91" s="168"/>
      <c r="AX91" s="168"/>
      <c r="AY91" s="168"/>
      <c r="AZ91" s="168"/>
      <c r="BA91" s="168"/>
      <c r="BB91" s="168"/>
      <c r="BC91" s="168"/>
      <c r="BD91" s="168"/>
      <c r="BE91" s="168"/>
      <c r="BF91" s="168"/>
      <c r="BG91" s="168"/>
      <c r="BH91" s="168"/>
      <c r="BI91" s="168"/>
      <c r="BJ91" s="168"/>
      <c r="BK91" s="168"/>
      <c r="BL91" s="168"/>
      <c r="BM91" s="168"/>
      <c r="BN91" s="168"/>
      <c r="BO91" s="168"/>
      <c r="BP91" s="168"/>
      <c r="BQ91" s="168"/>
      <c r="BR91" s="168"/>
    </row>
    <row r="92" spans="1:70" s="152" customFormat="1" ht="15" thickBot="1" x14ac:dyDescent="0.4">
      <c r="A92" s="197"/>
      <c r="B92" s="216"/>
      <c r="C92" s="198"/>
      <c r="D92" s="198"/>
      <c r="E92" s="198"/>
      <c r="F92" s="198"/>
      <c r="G92" s="216"/>
      <c r="H92" s="198"/>
      <c r="I92" s="198"/>
      <c r="J92" s="198"/>
      <c r="K92" s="198"/>
      <c r="L92" s="198"/>
      <c r="M92" s="198"/>
      <c r="N92" s="198"/>
      <c r="O92" s="198"/>
      <c r="P92" s="159"/>
      <c r="Q92" s="168"/>
      <c r="R92" s="147"/>
      <c r="S92" s="168"/>
      <c r="T92" s="168"/>
      <c r="U92" s="168"/>
      <c r="V92" s="168"/>
      <c r="W92" s="168"/>
      <c r="X92" s="168"/>
      <c r="Y92" s="168"/>
      <c r="Z92" s="168"/>
      <c r="AA92" s="168"/>
      <c r="AB92" s="168"/>
      <c r="AC92" s="168"/>
      <c r="AD92" s="151"/>
      <c r="AE92" s="168"/>
      <c r="AF92" s="168"/>
      <c r="AG92" s="168"/>
      <c r="AH92" s="151"/>
      <c r="AI92" s="168"/>
      <c r="AJ92" s="168"/>
      <c r="AK92" s="168"/>
      <c r="AL92" s="168"/>
      <c r="AM92" s="168"/>
      <c r="AN92" s="168"/>
      <c r="AO92" s="168"/>
      <c r="AP92" s="168"/>
      <c r="AQ92" s="168"/>
      <c r="AR92" s="168"/>
      <c r="AS92" s="168"/>
      <c r="AT92" s="168"/>
      <c r="AU92" s="168"/>
      <c r="AV92" s="168"/>
      <c r="AW92" s="168"/>
      <c r="AX92" s="168"/>
      <c r="AY92" s="168"/>
      <c r="AZ92" s="168"/>
      <c r="BA92" s="168"/>
      <c r="BB92" s="168"/>
      <c r="BC92" s="168"/>
      <c r="BD92" s="168"/>
      <c r="BE92" s="168"/>
      <c r="BF92" s="168"/>
      <c r="BG92" s="168"/>
      <c r="BH92" s="168"/>
      <c r="BI92" s="168"/>
      <c r="BJ92" s="168"/>
      <c r="BK92" s="168"/>
      <c r="BL92" s="168"/>
      <c r="BM92" s="168"/>
      <c r="BN92" s="168"/>
      <c r="BO92" s="168"/>
      <c r="BP92" s="168"/>
      <c r="BQ92" s="168"/>
      <c r="BR92" s="168"/>
    </row>
    <row r="93" spans="1:70" s="152" customFormat="1" x14ac:dyDescent="0.35">
      <c r="A93" s="179"/>
      <c r="B93" s="212"/>
      <c r="C93" s="179"/>
      <c r="D93" s="179"/>
      <c r="E93" s="179"/>
      <c r="F93" s="179"/>
      <c r="G93" s="212"/>
      <c r="H93" s="179"/>
      <c r="I93" s="179"/>
      <c r="J93" s="179"/>
      <c r="K93" s="179"/>
      <c r="L93" s="179"/>
      <c r="M93" s="179"/>
      <c r="N93" s="179"/>
      <c r="O93" s="179"/>
      <c r="P93" s="160"/>
      <c r="Q93" s="168"/>
      <c r="R93" s="147"/>
      <c r="S93" s="168"/>
      <c r="T93" s="168"/>
      <c r="U93" s="168"/>
      <c r="V93" s="168"/>
      <c r="W93" s="168"/>
      <c r="X93" s="168"/>
      <c r="Y93" s="168"/>
      <c r="Z93" s="168"/>
      <c r="AA93" s="168"/>
      <c r="AB93" s="168"/>
      <c r="AC93" s="168"/>
      <c r="AD93" s="151"/>
      <c r="AE93" s="168"/>
      <c r="AF93" s="168"/>
      <c r="AG93" s="168"/>
      <c r="AH93" s="151"/>
      <c r="AI93" s="168"/>
      <c r="AJ93" s="168"/>
      <c r="AK93" s="168"/>
      <c r="AL93" s="168"/>
      <c r="AM93" s="168"/>
      <c r="AN93" s="168"/>
      <c r="AO93" s="168"/>
      <c r="AP93" s="168"/>
      <c r="AQ93" s="168"/>
      <c r="AR93" s="168"/>
      <c r="AS93" s="168"/>
      <c r="AT93" s="168"/>
      <c r="AU93" s="168"/>
      <c r="AV93" s="168"/>
      <c r="AW93" s="168"/>
      <c r="AX93" s="168"/>
      <c r="AY93" s="168"/>
      <c r="AZ93" s="168"/>
      <c r="BA93" s="168"/>
      <c r="BB93" s="168"/>
      <c r="BC93" s="168"/>
      <c r="BD93" s="168"/>
      <c r="BE93" s="168"/>
      <c r="BF93" s="168"/>
      <c r="BG93" s="168"/>
      <c r="BH93" s="168"/>
      <c r="BI93" s="168"/>
      <c r="BJ93" s="168"/>
      <c r="BK93" s="168"/>
      <c r="BL93" s="168"/>
      <c r="BM93" s="168"/>
      <c r="BN93" s="168"/>
      <c r="BO93" s="168"/>
      <c r="BP93" s="168"/>
      <c r="BQ93" s="168"/>
      <c r="BR93" s="168"/>
    </row>
    <row r="94" spans="1:70" s="152" customFormat="1" x14ac:dyDescent="0.35">
      <c r="A94" s="179"/>
      <c r="B94" s="212"/>
      <c r="C94" s="179"/>
      <c r="D94" s="179"/>
      <c r="E94" s="179"/>
      <c r="F94" s="179"/>
      <c r="G94" s="212"/>
      <c r="H94" s="179"/>
      <c r="I94" s="179"/>
      <c r="J94" s="179"/>
      <c r="K94" s="179"/>
      <c r="L94" s="179"/>
      <c r="M94" s="179"/>
      <c r="N94" s="179"/>
      <c r="O94" s="179"/>
      <c r="P94" s="159"/>
      <c r="Q94" s="168"/>
      <c r="R94" s="147"/>
      <c r="S94" s="168"/>
      <c r="T94" s="168"/>
      <c r="U94" s="168"/>
      <c r="V94" s="168"/>
      <c r="W94" s="168"/>
      <c r="X94" s="168"/>
      <c r="Y94" s="168"/>
      <c r="Z94" s="168"/>
      <c r="AA94" s="168"/>
      <c r="AB94" s="168"/>
      <c r="AC94" s="168"/>
      <c r="AD94" s="151"/>
      <c r="AE94" s="168"/>
      <c r="AF94" s="168"/>
      <c r="AG94" s="168"/>
      <c r="AH94" s="151"/>
      <c r="AI94" s="168"/>
      <c r="AJ94" s="168"/>
      <c r="AK94" s="168"/>
      <c r="AL94" s="168"/>
      <c r="AM94" s="168"/>
      <c r="AN94" s="168"/>
      <c r="AO94" s="168"/>
      <c r="AP94" s="168"/>
      <c r="AQ94" s="168"/>
      <c r="AR94" s="168"/>
      <c r="AS94" s="168"/>
      <c r="AT94" s="168"/>
      <c r="AU94" s="168"/>
      <c r="AV94" s="168"/>
      <c r="AW94" s="168"/>
      <c r="AX94" s="168"/>
      <c r="AY94" s="168"/>
      <c r="AZ94" s="168"/>
      <c r="BA94" s="168"/>
      <c r="BB94" s="168"/>
      <c r="BC94" s="168"/>
      <c r="BD94" s="168"/>
      <c r="BE94" s="168"/>
      <c r="BF94" s="168"/>
      <c r="BG94" s="168"/>
      <c r="BH94" s="168"/>
      <c r="BI94" s="168"/>
      <c r="BJ94" s="168"/>
      <c r="BK94" s="168"/>
      <c r="BL94" s="168"/>
      <c r="BM94" s="168"/>
      <c r="BN94" s="168"/>
      <c r="BO94" s="168"/>
      <c r="BP94" s="168"/>
      <c r="BQ94" s="168"/>
      <c r="BR94" s="168"/>
    </row>
    <row r="95" spans="1:70" s="152" customFormat="1" x14ac:dyDescent="0.35">
      <c r="A95" s="180" t="s">
        <v>0</v>
      </c>
      <c r="B95" s="209" t="s">
        <v>7</v>
      </c>
      <c r="C95" s="182" t="s">
        <v>8</v>
      </c>
      <c r="D95" s="182" t="s">
        <v>9</v>
      </c>
      <c r="E95" s="182" t="s">
        <v>10</v>
      </c>
      <c r="F95" s="182" t="s">
        <v>11</v>
      </c>
      <c r="G95" s="209" t="s">
        <v>12</v>
      </c>
      <c r="H95" s="182" t="s">
        <v>13</v>
      </c>
      <c r="I95" s="182" t="s">
        <v>14</v>
      </c>
      <c r="J95" s="182" t="s">
        <v>15</v>
      </c>
      <c r="K95" s="182" t="s">
        <v>16</v>
      </c>
      <c r="L95" s="183" t="s">
        <v>17</v>
      </c>
      <c r="M95" s="184" t="s">
        <v>23</v>
      </c>
      <c r="N95" s="184" t="s">
        <v>24</v>
      </c>
      <c r="O95" s="185" t="s">
        <v>18</v>
      </c>
      <c r="P95" s="159"/>
      <c r="Q95" s="168"/>
      <c r="R95" s="147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51"/>
      <c r="AE95" s="168"/>
      <c r="AF95" s="168"/>
      <c r="AG95" s="168"/>
      <c r="AH95" s="151"/>
      <c r="AI95" s="168"/>
      <c r="AJ95" s="168"/>
      <c r="AK95" s="168"/>
      <c r="AL95" s="168"/>
      <c r="AM95" s="168"/>
      <c r="AN95" s="168"/>
      <c r="AO95" s="168"/>
      <c r="AP95" s="168"/>
      <c r="AQ95" s="168"/>
      <c r="AR95" s="168"/>
      <c r="AS95" s="168"/>
      <c r="AT95" s="168"/>
      <c r="AU95" s="168"/>
      <c r="AV95" s="168"/>
      <c r="AW95" s="168"/>
      <c r="AX95" s="168"/>
      <c r="AY95" s="168"/>
      <c r="AZ95" s="168"/>
      <c r="BA95" s="168"/>
      <c r="BB95" s="168"/>
      <c r="BC95" s="168"/>
      <c r="BD95" s="168"/>
      <c r="BE95" s="168"/>
      <c r="BF95" s="168"/>
      <c r="BG95" s="168"/>
      <c r="BH95" s="168"/>
      <c r="BI95" s="168"/>
      <c r="BJ95" s="168"/>
      <c r="BK95" s="168"/>
      <c r="BL95" s="168"/>
      <c r="BM95" s="168"/>
      <c r="BN95" s="168"/>
      <c r="BO95" s="168"/>
      <c r="BP95" s="168"/>
      <c r="BQ95" s="168"/>
      <c r="BR95" s="168"/>
    </row>
    <row r="96" spans="1:70" s="152" customFormat="1" x14ac:dyDescent="0.35">
      <c r="A96" s="154" t="s">
        <v>32</v>
      </c>
      <c r="B96" s="217">
        <v>764</v>
      </c>
      <c r="C96" s="199">
        <v>764</v>
      </c>
      <c r="D96" s="199">
        <v>764</v>
      </c>
      <c r="E96" s="199">
        <v>764</v>
      </c>
      <c r="F96" s="199">
        <v>764</v>
      </c>
      <c r="G96" s="217">
        <v>764</v>
      </c>
      <c r="H96" s="199">
        <v>764</v>
      </c>
      <c r="I96" s="199">
        <v>764</v>
      </c>
      <c r="J96" s="199">
        <v>764</v>
      </c>
      <c r="K96" s="199">
        <v>764</v>
      </c>
      <c r="L96" s="199">
        <v>764</v>
      </c>
      <c r="M96" s="199">
        <v>764</v>
      </c>
      <c r="N96" s="199">
        <v>764</v>
      </c>
      <c r="O96" s="200">
        <f>SUM(B96:N96)</f>
        <v>9932</v>
      </c>
      <c r="P96" s="159"/>
      <c r="Q96" s="168"/>
      <c r="R96" s="147"/>
      <c r="S96" s="168"/>
      <c r="T96" s="168"/>
      <c r="U96" s="168"/>
      <c r="V96" s="168"/>
      <c r="W96" s="168"/>
      <c r="X96" s="168"/>
      <c r="Y96" s="168"/>
      <c r="Z96" s="168"/>
      <c r="AA96" s="168"/>
      <c r="AB96" s="168"/>
      <c r="AC96" s="168"/>
      <c r="AD96" s="151"/>
      <c r="AE96" s="168"/>
      <c r="AF96" s="168"/>
      <c r="AG96" s="168"/>
      <c r="AH96" s="151"/>
      <c r="AI96" s="168"/>
      <c r="AJ96" s="168"/>
      <c r="AK96" s="168"/>
      <c r="AL96" s="168"/>
      <c r="AM96" s="168"/>
      <c r="AN96" s="168"/>
      <c r="AO96" s="168"/>
      <c r="AP96" s="168"/>
      <c r="AQ96" s="168"/>
      <c r="AR96" s="168"/>
      <c r="AS96" s="168"/>
      <c r="AT96" s="168"/>
      <c r="AU96" s="168"/>
      <c r="AV96" s="168"/>
      <c r="AW96" s="168"/>
      <c r="AX96" s="168"/>
      <c r="AY96" s="168"/>
      <c r="AZ96" s="168"/>
      <c r="BA96" s="168"/>
      <c r="BB96" s="168"/>
      <c r="BC96" s="168"/>
      <c r="BD96" s="168"/>
      <c r="BE96" s="168"/>
      <c r="BF96" s="168"/>
      <c r="BG96" s="168"/>
      <c r="BH96" s="168"/>
      <c r="BI96" s="168"/>
      <c r="BJ96" s="168"/>
      <c r="BK96" s="168"/>
      <c r="BL96" s="168"/>
      <c r="BM96" s="168"/>
      <c r="BN96" s="168"/>
      <c r="BO96" s="168"/>
      <c r="BP96" s="168"/>
      <c r="BQ96" s="168"/>
      <c r="BR96" s="168"/>
    </row>
    <row r="97" spans="1:70" s="158" customFormat="1" x14ac:dyDescent="0.35">
      <c r="A97" s="187" t="s">
        <v>20</v>
      </c>
      <c r="B97" s="218">
        <f>'housing proportion projections'!I36</f>
        <v>181.25388923459863</v>
      </c>
      <c r="C97" s="218">
        <f>'housing proportion projections'!J36</f>
        <v>181.25388923459863</v>
      </c>
      <c r="D97" s="218">
        <f>'housing proportion projections'!K36</f>
        <v>181.25388923459863</v>
      </c>
      <c r="E97" s="218">
        <f>'housing proportion projections'!L36</f>
        <v>181.25388923459863</v>
      </c>
      <c r="F97" s="218">
        <f>'housing proportion projections'!M36</f>
        <v>181.25388923459863</v>
      </c>
      <c r="G97" s="218">
        <f>'housing proportion projections'!N36</f>
        <v>181.25388923459863</v>
      </c>
      <c r="H97" s="218">
        <f>'housing proportion projections'!O36</f>
        <v>181.25388923459863</v>
      </c>
      <c r="I97" s="218">
        <f>'housing proportion projections'!P36</f>
        <v>181.25388923459863</v>
      </c>
      <c r="J97" s="218">
        <f>'housing proportion projections'!Q36</f>
        <v>181.25388923459863</v>
      </c>
      <c r="K97" s="218">
        <f>'housing proportion projections'!R36</f>
        <v>181.25388923459863</v>
      </c>
      <c r="L97" s="218">
        <f>'housing proportion projections'!S36</f>
        <v>181.25388923459863</v>
      </c>
      <c r="M97" s="218">
        <f>'housing proportion projections'!T36</f>
        <v>181.25388923459863</v>
      </c>
      <c r="N97" s="218">
        <f>'housing proportion projections'!U36</f>
        <v>181.25388923459863</v>
      </c>
      <c r="O97" s="200">
        <f t="shared" ref="O97:O100" si="144">SUM(B97:N97)</f>
        <v>2356.3005600497818</v>
      </c>
      <c r="P97" s="167"/>
      <c r="Q97" s="168"/>
      <c r="R97" s="147"/>
      <c r="S97" s="168"/>
      <c r="T97" s="168"/>
      <c r="U97" s="168"/>
      <c r="V97" s="168"/>
      <c r="W97" s="168"/>
      <c r="X97" s="168"/>
      <c r="Y97" s="168"/>
      <c r="Z97" s="168"/>
      <c r="AA97" s="168"/>
      <c r="AB97" s="168"/>
      <c r="AC97" s="168"/>
      <c r="AD97" s="151"/>
      <c r="AE97" s="168"/>
      <c r="AF97" s="168"/>
      <c r="AG97" s="168"/>
      <c r="AH97" s="151"/>
      <c r="AI97" s="168"/>
      <c r="AJ97" s="168"/>
      <c r="AK97" s="168"/>
      <c r="AL97" s="168"/>
      <c r="AM97" s="168"/>
      <c r="AN97" s="168"/>
      <c r="AO97" s="168"/>
      <c r="AP97" s="168"/>
      <c r="AQ97" s="168"/>
      <c r="AR97" s="168"/>
      <c r="AS97" s="168"/>
      <c r="AT97" s="168"/>
      <c r="AU97" s="168"/>
      <c r="AV97" s="168"/>
      <c r="AW97" s="168"/>
      <c r="AX97" s="168"/>
      <c r="AY97" s="168"/>
      <c r="AZ97" s="168"/>
      <c r="BA97" s="168"/>
      <c r="BB97" s="168"/>
      <c r="BC97" s="168"/>
      <c r="BD97" s="168"/>
      <c r="BE97" s="168"/>
      <c r="BF97" s="168"/>
      <c r="BG97" s="168"/>
      <c r="BH97" s="168"/>
      <c r="BI97" s="168"/>
      <c r="BJ97" s="168"/>
      <c r="BK97" s="168"/>
      <c r="BL97" s="168"/>
      <c r="BM97" s="168"/>
      <c r="BN97" s="168"/>
      <c r="BO97" s="168"/>
      <c r="BP97" s="168"/>
      <c r="BQ97" s="168"/>
      <c r="BR97" s="168"/>
    </row>
    <row r="98" spans="1:70" s="152" customFormat="1" ht="15" thickBot="1" x14ac:dyDescent="0.4">
      <c r="A98" s="187" t="s">
        <v>21</v>
      </c>
      <c r="B98" s="218">
        <f>'housing proportion projections'!I37</f>
        <v>280.61667703795894</v>
      </c>
      <c r="C98" s="218">
        <f>'housing proportion projections'!J37</f>
        <v>280.61667703795894</v>
      </c>
      <c r="D98" s="218">
        <f>'housing proportion projections'!K37</f>
        <v>280.61667703795894</v>
      </c>
      <c r="E98" s="218">
        <f>'housing proportion projections'!L37</f>
        <v>280.61667703795894</v>
      </c>
      <c r="F98" s="218">
        <f>'housing proportion projections'!M37</f>
        <v>280.61667703795894</v>
      </c>
      <c r="G98" s="218">
        <f>'housing proportion projections'!N37</f>
        <v>280.61667703795894</v>
      </c>
      <c r="H98" s="218">
        <f>'housing proportion projections'!O37</f>
        <v>280.61667703795894</v>
      </c>
      <c r="I98" s="218">
        <f>'housing proportion projections'!P37</f>
        <v>280.61667703795894</v>
      </c>
      <c r="J98" s="218">
        <f>'housing proportion projections'!Q37</f>
        <v>280.61667703795894</v>
      </c>
      <c r="K98" s="218">
        <f>'housing proportion projections'!R37</f>
        <v>280.61667703795894</v>
      </c>
      <c r="L98" s="218">
        <f>'housing proportion projections'!S37</f>
        <v>280.61667703795894</v>
      </c>
      <c r="M98" s="218">
        <f>'housing proportion projections'!T37</f>
        <v>280.61667703795894</v>
      </c>
      <c r="N98" s="218">
        <f>'housing proportion projections'!U37</f>
        <v>280.61667703795894</v>
      </c>
      <c r="O98" s="200">
        <f t="shared" si="144"/>
        <v>3648.016801493467</v>
      </c>
      <c r="P98" s="159"/>
      <c r="Q98" s="168"/>
      <c r="R98" s="147"/>
      <c r="S98" s="168"/>
      <c r="T98" s="168"/>
      <c r="U98" s="168"/>
      <c r="V98" s="168"/>
      <c r="W98" s="168"/>
      <c r="X98" s="168"/>
      <c r="Y98" s="168"/>
      <c r="Z98" s="168"/>
      <c r="AA98" s="168"/>
      <c r="AB98" s="168"/>
      <c r="AC98" s="168"/>
      <c r="AD98" s="151"/>
      <c r="AE98" s="168"/>
      <c r="AF98" s="168"/>
      <c r="AG98" s="168"/>
      <c r="AH98" s="151"/>
      <c r="AI98" s="168"/>
      <c r="AJ98" s="168"/>
      <c r="AK98" s="168"/>
      <c r="AL98" s="168"/>
      <c r="AM98" s="168"/>
      <c r="AN98" s="168"/>
      <c r="AO98" s="168"/>
      <c r="AP98" s="168"/>
      <c r="AQ98" s="168"/>
      <c r="AR98" s="168"/>
      <c r="AS98" s="168"/>
      <c r="AT98" s="168"/>
      <c r="AU98" s="168"/>
      <c r="AV98" s="168"/>
      <c r="AW98" s="168"/>
      <c r="AX98" s="168"/>
      <c r="AY98" s="168"/>
      <c r="AZ98" s="168"/>
      <c r="BA98" s="168"/>
      <c r="BB98" s="168"/>
      <c r="BC98" s="168"/>
      <c r="BD98" s="168"/>
      <c r="BE98" s="168"/>
      <c r="BF98" s="168"/>
      <c r="BG98" s="168"/>
      <c r="BH98" s="168"/>
      <c r="BI98" s="168"/>
      <c r="BJ98" s="168"/>
      <c r="BK98" s="168"/>
      <c r="BL98" s="168"/>
      <c r="BM98" s="168"/>
      <c r="BN98" s="168"/>
      <c r="BO98" s="168"/>
      <c r="BP98" s="168"/>
      <c r="BQ98" s="168"/>
      <c r="BR98" s="168"/>
    </row>
    <row r="99" spans="1:70" s="156" customFormat="1" x14ac:dyDescent="0.35">
      <c r="A99" s="187" t="s">
        <v>26</v>
      </c>
      <c r="B99" s="218">
        <f>'housing proportion projections'!I38</f>
        <v>177.56938394523957</v>
      </c>
      <c r="C99" s="218">
        <f>'housing proportion projections'!J38</f>
        <v>177.56938394523957</v>
      </c>
      <c r="D99" s="218">
        <f>'housing proportion projections'!K38</f>
        <v>177.56938394523957</v>
      </c>
      <c r="E99" s="218">
        <f>'housing proportion projections'!L38</f>
        <v>177.56938394523957</v>
      </c>
      <c r="F99" s="218">
        <f>'housing proportion projections'!M38</f>
        <v>177.56938394523957</v>
      </c>
      <c r="G99" s="218">
        <f>'housing proportion projections'!N38</f>
        <v>177.56938394523957</v>
      </c>
      <c r="H99" s="218">
        <f>'housing proportion projections'!O38</f>
        <v>177.56938394523957</v>
      </c>
      <c r="I99" s="218">
        <f>'housing proportion projections'!P38</f>
        <v>177.56938394523957</v>
      </c>
      <c r="J99" s="218">
        <f>'housing proportion projections'!Q38</f>
        <v>177.56938394523957</v>
      </c>
      <c r="K99" s="218">
        <f>'housing proportion projections'!R38</f>
        <v>177.56938394523957</v>
      </c>
      <c r="L99" s="218">
        <f>'housing proportion projections'!S38</f>
        <v>177.56938394523957</v>
      </c>
      <c r="M99" s="218">
        <f>'housing proportion projections'!T38</f>
        <v>177.56938394523957</v>
      </c>
      <c r="N99" s="218">
        <f>'housing proportion projections'!U38</f>
        <v>177.56938394523957</v>
      </c>
      <c r="O99" s="200">
        <f t="shared" si="144"/>
        <v>2308.4019912881149</v>
      </c>
      <c r="P99" s="161"/>
      <c r="Q99" s="168"/>
      <c r="R99" s="147"/>
      <c r="S99" s="168"/>
      <c r="T99" s="168"/>
      <c r="U99" s="168"/>
      <c r="V99" s="168"/>
      <c r="W99" s="168"/>
      <c r="X99" s="168"/>
      <c r="Y99" s="168"/>
      <c r="Z99" s="168"/>
      <c r="AA99" s="168"/>
      <c r="AB99" s="168"/>
      <c r="AC99" s="168"/>
      <c r="AD99" s="151"/>
      <c r="AE99" s="168"/>
      <c r="AF99" s="168"/>
      <c r="AG99" s="168"/>
      <c r="AH99" s="151"/>
      <c r="AI99" s="168"/>
      <c r="AJ99" s="168"/>
      <c r="AK99" s="168"/>
      <c r="AL99" s="168"/>
      <c r="AM99" s="168"/>
      <c r="AN99" s="168"/>
      <c r="AO99" s="168"/>
      <c r="AP99" s="168"/>
      <c r="AQ99" s="168"/>
      <c r="AR99" s="168"/>
      <c r="AS99" s="168"/>
      <c r="AT99" s="168"/>
      <c r="AU99" s="168"/>
      <c r="AV99" s="168"/>
      <c r="AW99" s="168"/>
      <c r="AX99" s="168"/>
      <c r="AY99" s="168"/>
      <c r="AZ99" s="168"/>
      <c r="BA99" s="168"/>
      <c r="BB99" s="168"/>
      <c r="BC99" s="168"/>
      <c r="BD99" s="168"/>
      <c r="BE99" s="168"/>
      <c r="BF99" s="168"/>
      <c r="BG99" s="168"/>
      <c r="BH99" s="168"/>
      <c r="BI99" s="168"/>
      <c r="BJ99" s="168"/>
      <c r="BK99" s="168"/>
      <c r="BL99" s="168"/>
      <c r="BM99" s="168"/>
      <c r="BN99" s="168"/>
      <c r="BO99" s="168"/>
      <c r="BP99" s="168"/>
      <c r="BQ99" s="168"/>
      <c r="BR99" s="168"/>
    </row>
    <row r="100" spans="1:70" s="155" customFormat="1" x14ac:dyDescent="0.35">
      <c r="A100" s="190" t="s">
        <v>22</v>
      </c>
      <c r="B100" s="218">
        <f>'housing proportion projections'!I39</f>
        <v>124.56004978220285</v>
      </c>
      <c r="C100" s="218">
        <f>'housing proportion projections'!J39</f>
        <v>124.56004978220285</v>
      </c>
      <c r="D100" s="218">
        <f>'housing proportion projections'!K39</f>
        <v>124.56004978220285</v>
      </c>
      <c r="E100" s="218">
        <f>'housing proportion projections'!L39</f>
        <v>124.56004978220285</v>
      </c>
      <c r="F100" s="218">
        <f>'housing proportion projections'!M39</f>
        <v>124.56004978220285</v>
      </c>
      <c r="G100" s="218">
        <f>'housing proportion projections'!N39</f>
        <v>124.56004978220285</v>
      </c>
      <c r="H100" s="218">
        <f>'housing proportion projections'!O39</f>
        <v>124.56004978220285</v>
      </c>
      <c r="I100" s="218">
        <f>'housing proportion projections'!P39</f>
        <v>124.56004978220285</v>
      </c>
      <c r="J100" s="218">
        <f>'housing proportion projections'!Q39</f>
        <v>124.56004978220285</v>
      </c>
      <c r="K100" s="218">
        <f>'housing proportion projections'!R39</f>
        <v>124.56004978220285</v>
      </c>
      <c r="L100" s="218">
        <f>'housing proportion projections'!S39</f>
        <v>124.56004978220285</v>
      </c>
      <c r="M100" s="218">
        <f>'housing proportion projections'!T39</f>
        <v>124.56004978220285</v>
      </c>
      <c r="N100" s="218">
        <f>'housing proportion projections'!U39</f>
        <v>124.56004978220285</v>
      </c>
      <c r="O100" s="200">
        <f t="shared" si="144"/>
        <v>1619.2806471686374</v>
      </c>
      <c r="P100" s="162"/>
      <c r="Q100" s="168"/>
      <c r="R100" s="147"/>
      <c r="S100" s="168"/>
      <c r="T100" s="168"/>
      <c r="U100" s="168"/>
      <c r="V100" s="168"/>
      <c r="W100" s="168"/>
      <c r="X100" s="168"/>
      <c r="Y100" s="168"/>
      <c r="Z100" s="168"/>
      <c r="AA100" s="168"/>
      <c r="AB100" s="168"/>
      <c r="AC100" s="168"/>
      <c r="AD100" s="151"/>
      <c r="AE100" s="168"/>
      <c r="AF100" s="168"/>
      <c r="AG100" s="168"/>
      <c r="AH100" s="151"/>
      <c r="AI100" s="168"/>
      <c r="AJ100" s="168"/>
      <c r="AK100" s="168"/>
      <c r="AL100" s="168"/>
      <c r="AM100" s="168"/>
      <c r="AN100" s="168"/>
      <c r="AO100" s="168"/>
      <c r="AP100" s="168"/>
      <c r="AQ100" s="168"/>
      <c r="AR100" s="168"/>
      <c r="AS100" s="168"/>
      <c r="AT100" s="168"/>
      <c r="AU100" s="168"/>
      <c r="AV100" s="168"/>
      <c r="AW100" s="168"/>
      <c r="AX100" s="168"/>
      <c r="AY100" s="168"/>
      <c r="AZ100" s="168"/>
      <c r="BA100" s="168"/>
      <c r="BB100" s="168"/>
      <c r="BC100" s="168"/>
      <c r="BD100" s="168"/>
      <c r="BE100" s="168"/>
      <c r="BF100" s="168"/>
      <c r="BG100" s="168"/>
      <c r="BH100" s="168"/>
      <c r="BI100" s="168"/>
      <c r="BJ100" s="168"/>
      <c r="BK100" s="168"/>
      <c r="BL100" s="168"/>
      <c r="BM100" s="168"/>
      <c r="BN100" s="168"/>
      <c r="BO100" s="168"/>
      <c r="BP100" s="168"/>
      <c r="BQ100" s="168"/>
      <c r="BR100" s="168"/>
    </row>
    <row r="101" spans="1:70" s="155" customFormat="1" ht="15" thickBot="1" x14ac:dyDescent="0.4">
      <c r="A101" s="179"/>
      <c r="B101" s="212"/>
      <c r="C101" s="179"/>
      <c r="D101" s="179"/>
      <c r="E101" s="179"/>
      <c r="F101" s="179"/>
      <c r="G101" s="212"/>
      <c r="H101" s="179"/>
      <c r="I101" s="179"/>
      <c r="J101" s="179"/>
      <c r="K101" s="179"/>
      <c r="L101" s="179"/>
      <c r="M101" s="179"/>
      <c r="N101" s="179"/>
      <c r="O101" s="179"/>
      <c r="P101" s="163"/>
      <c r="Q101" s="168"/>
      <c r="R101" s="147"/>
      <c r="S101" s="168"/>
      <c r="T101" s="168"/>
      <c r="U101" s="168"/>
      <c r="V101" s="168"/>
      <c r="W101" s="168"/>
      <c r="X101" s="168"/>
      <c r="Y101" s="168"/>
      <c r="Z101" s="168"/>
      <c r="AA101" s="168"/>
      <c r="AB101" s="168"/>
      <c r="AC101" s="168"/>
      <c r="AD101" s="151"/>
      <c r="AE101" s="168"/>
      <c r="AF101" s="168"/>
      <c r="AG101" s="168"/>
      <c r="AH101" s="151"/>
      <c r="AI101" s="168"/>
      <c r="AJ101" s="168"/>
      <c r="AK101" s="168"/>
      <c r="AL101" s="168"/>
      <c r="AM101" s="168"/>
      <c r="AN101" s="168"/>
      <c r="AO101" s="168"/>
      <c r="AP101" s="168"/>
      <c r="AQ101" s="168"/>
      <c r="AR101" s="168"/>
      <c r="AS101" s="168"/>
      <c r="AT101" s="168"/>
      <c r="AU101" s="168"/>
      <c r="AV101" s="168"/>
      <c r="AW101" s="168"/>
      <c r="AX101" s="168"/>
      <c r="AY101" s="168"/>
      <c r="AZ101" s="168"/>
      <c r="BA101" s="168"/>
      <c r="BB101" s="168"/>
      <c r="BC101" s="168"/>
      <c r="BD101" s="168"/>
      <c r="BE101" s="168"/>
      <c r="BF101" s="168"/>
      <c r="BG101" s="168"/>
      <c r="BH101" s="168"/>
      <c r="BI101" s="168"/>
      <c r="BJ101" s="168"/>
      <c r="BK101" s="168"/>
      <c r="BL101" s="168"/>
      <c r="BM101" s="168"/>
      <c r="BN101" s="168"/>
      <c r="BO101" s="168"/>
      <c r="BP101" s="168"/>
      <c r="BQ101" s="168"/>
      <c r="BR101" s="168"/>
    </row>
    <row r="102" spans="1:70" s="155" customFormat="1" x14ac:dyDescent="0.35">
      <c r="A102" s="191" t="s">
        <v>134</v>
      </c>
      <c r="B102" s="213"/>
      <c r="C102" s="192"/>
      <c r="D102" s="192"/>
      <c r="E102" s="192"/>
      <c r="F102" s="192"/>
      <c r="G102" s="213"/>
      <c r="H102" s="192"/>
      <c r="I102" s="192"/>
      <c r="J102" s="192"/>
      <c r="K102" s="192"/>
      <c r="L102" s="192"/>
      <c r="M102" s="192"/>
      <c r="N102" s="192"/>
      <c r="O102" s="192"/>
      <c r="P102" s="162"/>
      <c r="Q102" s="168"/>
      <c r="R102" s="147"/>
      <c r="S102" s="168"/>
      <c r="T102" s="168"/>
      <c r="U102" s="168"/>
      <c r="V102" s="168"/>
      <c r="W102" s="168"/>
      <c r="X102" s="168"/>
      <c r="Y102" s="168"/>
      <c r="Z102" s="168"/>
      <c r="AA102" s="168"/>
      <c r="AB102" s="168"/>
      <c r="AC102" s="168"/>
      <c r="AD102" s="151"/>
      <c r="AE102" s="168"/>
      <c r="AF102" s="168"/>
      <c r="AG102" s="168"/>
      <c r="AH102" s="151"/>
      <c r="AI102" s="168"/>
      <c r="AJ102" s="168"/>
      <c r="AK102" s="168"/>
      <c r="AL102" s="168"/>
      <c r="AM102" s="168"/>
      <c r="AN102" s="168"/>
      <c r="AO102" s="168"/>
      <c r="AP102" s="168"/>
      <c r="AQ102" s="168"/>
      <c r="AR102" s="168"/>
      <c r="AS102" s="168"/>
      <c r="AT102" s="168"/>
      <c r="AU102" s="168"/>
      <c r="AV102" s="168"/>
      <c r="AW102" s="168"/>
      <c r="AX102" s="168"/>
      <c r="AY102" s="168"/>
      <c r="AZ102" s="168"/>
      <c r="BA102" s="168"/>
      <c r="BB102" s="168"/>
      <c r="BC102" s="168"/>
      <c r="BD102" s="168"/>
      <c r="BE102" s="168"/>
      <c r="BF102" s="168"/>
      <c r="BG102" s="168"/>
      <c r="BH102" s="168"/>
      <c r="BI102" s="168"/>
      <c r="BJ102" s="168"/>
      <c r="BK102" s="168"/>
      <c r="BL102" s="168"/>
      <c r="BM102" s="168"/>
      <c r="BN102" s="168"/>
      <c r="BO102" s="168"/>
      <c r="BP102" s="168"/>
      <c r="BQ102" s="168"/>
      <c r="BR102" s="168"/>
    </row>
    <row r="103" spans="1:70" s="157" customFormat="1" ht="15" thickBot="1" x14ac:dyDescent="0.4">
      <c r="A103" s="193" t="s">
        <v>112</v>
      </c>
      <c r="B103" s="214">
        <f>30*((B97*$AF$17)+(B98*$AF$18)+(B99*$AF$19)+(B100*$AF$20))+'scenario 1'!B103</f>
        <v>15997431.541270491</v>
      </c>
      <c r="C103" s="214">
        <f>30*((C97*$AF$17)+(C98*$AF$18)+(C99*$AF$19)+(C100*$AF$20))+'scenario 1'!C103</f>
        <v>15997431.541270491</v>
      </c>
      <c r="D103" s="214">
        <f>30*((D97*$AF$17)+(D98*$AF$18)+(D99*$AF$19)+(D100*$AF$20))+'scenario 1'!D103</f>
        <v>15997431.541270491</v>
      </c>
      <c r="E103" s="214">
        <f>30*((E97*$AF$17)+(E98*$AF$18)+(E99*$AF$19)+(E100*$AF$20))+'scenario 1'!E103</f>
        <v>15997431.541270491</v>
      </c>
      <c r="F103" s="214">
        <f>30*((F97*$AF$17)+(F98*$AF$18)+(F99*$AF$19)+(F100*$AF$20))+'scenario 1'!F103</f>
        <v>15997431.541270491</v>
      </c>
      <c r="G103" s="214">
        <f>30*((G97*$AJ$17)+(G98*$AJ$18)+(G99*$AJ$19)+(G100*$AJ$20))+'scenario 1'!G103</f>
        <v>13156404.824055627</v>
      </c>
      <c r="H103" s="214">
        <f>30*((H97*$AJ$17)+(H98*$AJ$18)+(H99*$AJ$19)+(H100*$AJ$20))+'scenario 1'!H103</f>
        <v>13156404.824055627</v>
      </c>
      <c r="I103" s="214">
        <f>30*((I97*$AJ$17)+(I98*$AJ$18)+(I99*$AJ$19)+(I100*$AJ$20))+'scenario 1'!I103</f>
        <v>13156404.824055627</v>
      </c>
      <c r="J103" s="214">
        <f>30*((J97*$AJ$17)+(J98*$AJ$18)+(J99*$AJ$19)+(J100*$AJ$20))+'scenario 1'!J103</f>
        <v>13156404.824055627</v>
      </c>
      <c r="K103" s="214">
        <f>30*((K97*$AJ$17)+(K98*$AJ$18)+(K99*$AJ$19)+(K100*$AJ$20))+'scenario 1'!K103</f>
        <v>13156404.824055627</v>
      </c>
      <c r="L103" s="214">
        <f>30*((L97*$AJ$17)+(L98*$AJ$18)+(L99*$AJ$19)+(L100*$AJ$20))+'scenario 1'!L103</f>
        <v>13156404.824055627</v>
      </c>
      <c r="M103" s="214">
        <f>30*((M97*$AJ$17)+(M98*$AJ$18)+(M99*$AJ$19)+(M100*$AJ$20))+'scenario 1'!M103</f>
        <v>13156404.824055627</v>
      </c>
      <c r="N103" s="214">
        <f>30*((N97*$AJ$17)+(N98*$AJ$18)+(N99*$AJ$19)+(N100*$AJ$20))+'scenario 1'!N103</f>
        <v>13156404.824055627</v>
      </c>
      <c r="O103" s="214">
        <f>SUM(B103:N103)</f>
        <v>185238396.29879743</v>
      </c>
      <c r="P103" s="164"/>
      <c r="Q103" s="168"/>
      <c r="R103" s="147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51"/>
      <c r="AE103" s="168"/>
      <c r="AF103" s="168"/>
      <c r="AG103" s="168"/>
      <c r="AH103" s="151"/>
      <c r="AI103" s="168"/>
      <c r="AJ103" s="168"/>
      <c r="AK103" s="168"/>
      <c r="AL103" s="168"/>
      <c r="AM103" s="168"/>
      <c r="AN103" s="168"/>
      <c r="AO103" s="168"/>
      <c r="AP103" s="168"/>
      <c r="AQ103" s="168"/>
      <c r="AR103" s="168"/>
      <c r="AS103" s="168"/>
      <c r="AT103" s="168"/>
      <c r="AU103" s="168"/>
      <c r="AV103" s="168"/>
      <c r="AW103" s="168"/>
      <c r="AX103" s="168"/>
      <c r="AY103" s="168"/>
      <c r="AZ103" s="168"/>
      <c r="BA103" s="168"/>
      <c r="BB103" s="168"/>
      <c r="BC103" s="168"/>
      <c r="BD103" s="168"/>
      <c r="BE103" s="168"/>
      <c r="BF103" s="168"/>
      <c r="BG103" s="168"/>
      <c r="BH103" s="168"/>
      <c r="BI103" s="168"/>
      <c r="BJ103" s="168"/>
      <c r="BK103" s="168"/>
      <c r="BL103" s="168"/>
      <c r="BM103" s="168"/>
      <c r="BN103" s="168"/>
      <c r="BO103" s="168"/>
      <c r="BP103" s="168"/>
      <c r="BQ103" s="168"/>
      <c r="BR103" s="168"/>
    </row>
    <row r="104" spans="1:70" s="157" customFormat="1" ht="15" thickBot="1" x14ac:dyDescent="0.4">
      <c r="A104" s="193" t="s">
        <v>113</v>
      </c>
      <c r="B104" s="214">
        <f t="shared" ref="B104" si="145">B103/1000</f>
        <v>15997.431541270491</v>
      </c>
      <c r="C104" s="214">
        <f t="shared" ref="C104" si="146">C103/1000</f>
        <v>15997.431541270491</v>
      </c>
      <c r="D104" s="214">
        <f t="shared" ref="D104" si="147">D103/1000</f>
        <v>15997.431541270491</v>
      </c>
      <c r="E104" s="214">
        <f t="shared" ref="E104" si="148">E103/1000</f>
        <v>15997.431541270491</v>
      </c>
      <c r="F104" s="214">
        <f t="shared" ref="F104" si="149">F103/1000</f>
        <v>15997.431541270491</v>
      </c>
      <c r="G104" s="214">
        <f t="shared" ref="G104" si="150">G103/1000</f>
        <v>13156.404824055628</v>
      </c>
      <c r="H104" s="214">
        <f t="shared" ref="H104" si="151">H103/1000</f>
        <v>13156.404824055628</v>
      </c>
      <c r="I104" s="214">
        <f t="shared" ref="I104" si="152">I103/1000</f>
        <v>13156.404824055628</v>
      </c>
      <c r="J104" s="214">
        <f t="shared" ref="J104" si="153">J103/1000</f>
        <v>13156.404824055628</v>
      </c>
      <c r="K104" s="214">
        <f t="shared" ref="K104" si="154">K103/1000</f>
        <v>13156.404824055628</v>
      </c>
      <c r="L104" s="214">
        <f t="shared" ref="L104" si="155">L103/1000</f>
        <v>13156.404824055628</v>
      </c>
      <c r="M104" s="214">
        <f t="shared" ref="M104" si="156">M103/1000</f>
        <v>13156.404824055628</v>
      </c>
      <c r="N104" s="214">
        <f t="shared" ref="N104" si="157">N103/1000</f>
        <v>13156.404824055628</v>
      </c>
      <c r="O104" s="214">
        <f t="shared" ref="O104" si="158">O103/1000</f>
        <v>185238.39629879742</v>
      </c>
      <c r="P104" s="164"/>
      <c r="Q104" s="168"/>
      <c r="R104" s="147"/>
      <c r="S104" s="168"/>
      <c r="T104" s="168"/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51"/>
      <c r="AE104" s="168"/>
      <c r="AF104" s="168"/>
      <c r="AG104" s="168"/>
      <c r="AH104" s="151"/>
      <c r="AI104" s="168"/>
      <c r="AJ104" s="168"/>
      <c r="AK104" s="168"/>
      <c r="AL104" s="168"/>
      <c r="AM104" s="168"/>
      <c r="AN104" s="168"/>
      <c r="AO104" s="168"/>
      <c r="AP104" s="168"/>
      <c r="AQ104" s="168"/>
      <c r="AR104" s="168"/>
      <c r="AS104" s="168"/>
      <c r="AT104" s="168"/>
      <c r="AU104" s="168"/>
      <c r="AV104" s="168"/>
      <c r="AW104" s="168"/>
      <c r="AX104" s="168"/>
      <c r="AY104" s="168"/>
      <c r="AZ104" s="168"/>
      <c r="BA104" s="168"/>
      <c r="BB104" s="168"/>
      <c r="BC104" s="168"/>
      <c r="BD104" s="168"/>
      <c r="BE104" s="168"/>
      <c r="BF104" s="168"/>
      <c r="BG104" s="168"/>
      <c r="BH104" s="168"/>
      <c r="BI104" s="168"/>
      <c r="BJ104" s="168"/>
      <c r="BK104" s="168"/>
      <c r="BL104" s="168"/>
      <c r="BM104" s="168"/>
      <c r="BN104" s="168"/>
      <c r="BO104" s="168"/>
      <c r="BP104" s="168"/>
      <c r="BQ104" s="168"/>
      <c r="BR104" s="168"/>
    </row>
    <row r="105" spans="1:70" s="152" customFormat="1" x14ac:dyDescent="0.35">
      <c r="A105" s="193" t="s">
        <v>64</v>
      </c>
      <c r="B105" s="215">
        <f>B104*$AB$3</f>
        <v>3199486.3082540981</v>
      </c>
      <c r="C105" s="215">
        <f t="shared" ref="C105" si="159">C104*$AB$3</f>
        <v>3199486.3082540981</v>
      </c>
      <c r="D105" s="215">
        <f t="shared" ref="D105" si="160">D104*$AB$3</f>
        <v>3199486.3082540981</v>
      </c>
      <c r="E105" s="215">
        <f t="shared" ref="E105" si="161">E104*$AB$3</f>
        <v>3199486.3082540981</v>
      </c>
      <c r="F105" s="215">
        <f t="shared" ref="F105" si="162">F104*$AB$3</f>
        <v>3199486.3082540981</v>
      </c>
      <c r="G105" s="215">
        <f t="shared" ref="G105" si="163">G104*$AB$3</f>
        <v>2631280.9648111253</v>
      </c>
      <c r="H105" s="215">
        <f t="shared" ref="H105" si="164">H104*$AB$3</f>
        <v>2631280.9648111253</v>
      </c>
      <c r="I105" s="215">
        <f t="shared" ref="I105" si="165">I104*$AB$3</f>
        <v>2631280.9648111253</v>
      </c>
      <c r="J105" s="215">
        <f t="shared" ref="J105" si="166">J104*$AB$3</f>
        <v>2631280.9648111253</v>
      </c>
      <c r="K105" s="215">
        <f t="shared" ref="K105" si="167">K104*$AB$3</f>
        <v>2631280.9648111253</v>
      </c>
      <c r="L105" s="215">
        <f t="shared" ref="L105" si="168">L104*$AB$3</f>
        <v>2631280.9648111253</v>
      </c>
      <c r="M105" s="215">
        <f t="shared" ref="M105" si="169">M104*$AB$3</f>
        <v>2631280.9648111253</v>
      </c>
      <c r="N105" s="215">
        <f t="shared" ref="N105" si="170">N104*$AB$3</f>
        <v>2631280.9648111253</v>
      </c>
      <c r="O105" s="215">
        <f t="shared" ref="O105" si="171">O104*$AB$3</f>
        <v>37047679.259759486</v>
      </c>
      <c r="P105" s="159"/>
      <c r="Q105" s="168"/>
      <c r="R105" s="147"/>
      <c r="S105" s="168"/>
      <c r="T105" s="168"/>
      <c r="U105" s="168"/>
      <c r="V105" s="168"/>
      <c r="W105" s="168"/>
      <c r="X105" s="168"/>
      <c r="Y105" s="168"/>
      <c r="Z105" s="168"/>
      <c r="AA105" s="168"/>
      <c r="AB105" s="168"/>
      <c r="AC105" s="168"/>
      <c r="AD105" s="151"/>
      <c r="AE105" s="168"/>
      <c r="AF105" s="168"/>
      <c r="AG105" s="168"/>
      <c r="AH105" s="151"/>
      <c r="AI105" s="168"/>
      <c r="AJ105" s="168"/>
      <c r="AK105" s="168"/>
      <c r="AL105" s="168"/>
      <c r="AM105" s="168"/>
      <c r="AN105" s="168"/>
      <c r="AO105" s="168"/>
      <c r="AP105" s="168"/>
      <c r="AQ105" s="168"/>
      <c r="AR105" s="168"/>
      <c r="AS105" s="168"/>
      <c r="AT105" s="168"/>
      <c r="AU105" s="168"/>
      <c r="AV105" s="168"/>
      <c r="AW105" s="168"/>
      <c r="AX105" s="168"/>
      <c r="AY105" s="168"/>
      <c r="AZ105" s="168"/>
      <c r="BA105" s="168"/>
      <c r="BB105" s="168"/>
      <c r="BC105" s="168"/>
      <c r="BD105" s="168"/>
      <c r="BE105" s="168"/>
      <c r="BF105" s="168"/>
      <c r="BG105" s="168"/>
      <c r="BH105" s="168"/>
      <c r="BI105" s="168"/>
      <c r="BJ105" s="168"/>
      <c r="BK105" s="168"/>
      <c r="BL105" s="168"/>
      <c r="BM105" s="168"/>
      <c r="BN105" s="168"/>
      <c r="BO105" s="168"/>
      <c r="BP105" s="168"/>
      <c r="BQ105" s="168"/>
      <c r="BR105" s="168"/>
    </row>
    <row r="106" spans="1:70" s="152" customFormat="1" x14ac:dyDescent="0.35">
      <c r="A106" s="193"/>
      <c r="B106" s="214"/>
      <c r="C106" s="194"/>
      <c r="D106" s="194"/>
      <c r="E106" s="194"/>
      <c r="F106" s="194"/>
      <c r="G106" s="214"/>
      <c r="H106" s="194"/>
      <c r="I106" s="194"/>
      <c r="J106" s="194"/>
      <c r="K106" s="194"/>
      <c r="L106" s="194"/>
      <c r="M106" s="194"/>
      <c r="N106" s="194"/>
      <c r="O106" s="194"/>
      <c r="P106" s="159"/>
      <c r="Q106" s="168"/>
      <c r="R106" s="147"/>
      <c r="S106" s="168"/>
      <c r="T106" s="168"/>
      <c r="U106" s="168"/>
      <c r="V106" s="168"/>
      <c r="W106" s="168"/>
      <c r="X106" s="168"/>
      <c r="Y106" s="168"/>
      <c r="Z106" s="168"/>
      <c r="AA106" s="168"/>
      <c r="AB106" s="168"/>
      <c r="AC106" s="168"/>
      <c r="AD106" s="151"/>
      <c r="AE106" s="168"/>
      <c r="AF106" s="168"/>
      <c r="AG106" s="168"/>
      <c r="AH106" s="151"/>
      <c r="AI106" s="168"/>
      <c r="AJ106" s="168"/>
      <c r="AK106" s="168"/>
      <c r="AL106" s="168"/>
      <c r="AM106" s="168"/>
      <c r="AN106" s="168"/>
      <c r="AO106" s="168"/>
      <c r="AP106" s="168"/>
      <c r="AQ106" s="168"/>
      <c r="AR106" s="168"/>
      <c r="AS106" s="168"/>
      <c r="AT106" s="168"/>
      <c r="AU106" s="168"/>
      <c r="AV106" s="168"/>
      <c r="AW106" s="168"/>
      <c r="AX106" s="168"/>
      <c r="AY106" s="168"/>
      <c r="AZ106" s="168"/>
      <c r="BA106" s="168"/>
      <c r="BB106" s="168"/>
      <c r="BC106" s="168"/>
      <c r="BD106" s="168"/>
      <c r="BE106" s="168"/>
      <c r="BF106" s="168"/>
      <c r="BG106" s="168"/>
      <c r="BH106" s="168"/>
      <c r="BI106" s="168"/>
      <c r="BJ106" s="168"/>
      <c r="BK106" s="168"/>
      <c r="BL106" s="168"/>
      <c r="BM106" s="168"/>
      <c r="BN106" s="168"/>
      <c r="BO106" s="168"/>
      <c r="BP106" s="168"/>
      <c r="BQ106" s="168"/>
      <c r="BR106" s="168"/>
    </row>
    <row r="107" spans="1:70" s="152" customFormat="1" ht="15" thickBot="1" x14ac:dyDescent="0.4">
      <c r="A107" s="197"/>
      <c r="B107" s="216"/>
      <c r="C107" s="198"/>
      <c r="D107" s="198"/>
      <c r="E107" s="198"/>
      <c r="F107" s="198"/>
      <c r="G107" s="216"/>
      <c r="H107" s="198"/>
      <c r="I107" s="198"/>
      <c r="J107" s="198"/>
      <c r="K107" s="198"/>
      <c r="L107" s="198"/>
      <c r="M107" s="198"/>
      <c r="N107" s="198"/>
      <c r="O107" s="198"/>
      <c r="P107" s="159"/>
      <c r="Q107" s="168"/>
      <c r="R107" s="147"/>
      <c r="S107" s="168"/>
      <c r="T107" s="168"/>
      <c r="U107" s="168"/>
      <c r="V107" s="168"/>
      <c r="W107" s="168"/>
      <c r="X107" s="168"/>
      <c r="Y107" s="168"/>
      <c r="Z107" s="168"/>
      <c r="AA107" s="168"/>
      <c r="AB107" s="168"/>
      <c r="AC107" s="168"/>
      <c r="AD107" s="151"/>
      <c r="AE107" s="168"/>
      <c r="AF107" s="168"/>
      <c r="AG107" s="168"/>
      <c r="AH107" s="151"/>
      <c r="AI107" s="168"/>
      <c r="AJ107" s="168"/>
      <c r="AK107" s="168"/>
      <c r="AL107" s="168"/>
      <c r="AM107" s="168"/>
      <c r="AN107" s="168"/>
      <c r="AO107" s="168"/>
      <c r="AP107" s="168"/>
      <c r="AQ107" s="168"/>
      <c r="AR107" s="168"/>
      <c r="AS107" s="168"/>
      <c r="AT107" s="168"/>
      <c r="AU107" s="168"/>
      <c r="AV107" s="168"/>
      <c r="AW107" s="168"/>
      <c r="AX107" s="168"/>
      <c r="AY107" s="168"/>
      <c r="AZ107" s="168"/>
      <c r="BA107" s="168"/>
      <c r="BB107" s="168"/>
      <c r="BC107" s="168"/>
      <c r="BD107" s="168"/>
      <c r="BE107" s="168"/>
      <c r="BF107" s="168"/>
      <c r="BG107" s="168"/>
      <c r="BH107" s="168"/>
      <c r="BI107" s="168"/>
      <c r="BJ107" s="168"/>
      <c r="BK107" s="168"/>
      <c r="BL107" s="168"/>
      <c r="BM107" s="168"/>
      <c r="BN107" s="168"/>
      <c r="BO107" s="168"/>
      <c r="BP107" s="168"/>
      <c r="BQ107" s="168"/>
      <c r="BR107" s="168"/>
    </row>
    <row r="108" spans="1:70" s="152" customFormat="1" x14ac:dyDescent="0.35">
      <c r="A108" s="179"/>
      <c r="B108" s="212"/>
      <c r="C108" s="179"/>
      <c r="D108" s="179"/>
      <c r="E108" s="179"/>
      <c r="F108" s="179"/>
      <c r="G108" s="212"/>
      <c r="H108" s="179"/>
      <c r="I108" s="179"/>
      <c r="J108" s="179"/>
      <c r="K108" s="179"/>
      <c r="L108" s="179"/>
      <c r="M108" s="179"/>
      <c r="N108" s="179"/>
      <c r="O108" s="179"/>
      <c r="P108" s="160"/>
      <c r="Q108" s="168"/>
      <c r="R108" s="147"/>
      <c r="S108" s="168"/>
      <c r="T108" s="168"/>
      <c r="U108" s="168"/>
      <c r="V108" s="168"/>
      <c r="W108" s="168"/>
      <c r="X108" s="168"/>
      <c r="Y108" s="168"/>
      <c r="Z108" s="168"/>
      <c r="AA108" s="168"/>
      <c r="AB108" s="168"/>
      <c r="AC108" s="168"/>
      <c r="AD108" s="151"/>
      <c r="AE108" s="168"/>
      <c r="AF108" s="168"/>
      <c r="AG108" s="168"/>
      <c r="AH108" s="151"/>
      <c r="AI108" s="168"/>
      <c r="AJ108" s="168"/>
      <c r="AK108" s="168"/>
      <c r="AL108" s="168"/>
      <c r="AM108" s="168"/>
      <c r="AN108" s="168"/>
      <c r="AO108" s="168"/>
      <c r="AP108" s="168"/>
      <c r="AQ108" s="168"/>
      <c r="AR108" s="168"/>
      <c r="AS108" s="168"/>
      <c r="AT108" s="168"/>
      <c r="AU108" s="168"/>
      <c r="AV108" s="168"/>
      <c r="AW108" s="168"/>
      <c r="AX108" s="168"/>
      <c r="AY108" s="168"/>
      <c r="AZ108" s="168"/>
      <c r="BA108" s="168"/>
      <c r="BB108" s="168"/>
      <c r="BC108" s="168"/>
      <c r="BD108" s="168"/>
      <c r="BE108" s="168"/>
      <c r="BF108" s="168"/>
      <c r="BG108" s="168"/>
      <c r="BH108" s="168"/>
      <c r="BI108" s="168"/>
      <c r="BJ108" s="168"/>
      <c r="BK108" s="168"/>
      <c r="BL108" s="168"/>
      <c r="BM108" s="168"/>
      <c r="BN108" s="168"/>
      <c r="BO108" s="168"/>
      <c r="BP108" s="168"/>
      <c r="BQ108" s="168"/>
      <c r="BR108" s="168"/>
    </row>
    <row r="109" spans="1:70" s="152" customFormat="1" x14ac:dyDescent="0.35">
      <c r="A109" s="179"/>
      <c r="B109" s="212"/>
      <c r="C109" s="179"/>
      <c r="D109" s="179"/>
      <c r="E109" s="179"/>
      <c r="F109" s="179"/>
      <c r="G109" s="212"/>
      <c r="H109" s="179"/>
      <c r="I109" s="179"/>
      <c r="J109" s="179"/>
      <c r="K109" s="179"/>
      <c r="L109" s="179"/>
      <c r="M109" s="179"/>
      <c r="N109" s="179"/>
      <c r="O109" s="179"/>
      <c r="P109" s="159"/>
      <c r="Q109" s="168"/>
      <c r="R109" s="147"/>
      <c r="S109" s="168"/>
      <c r="T109" s="168"/>
      <c r="U109" s="168"/>
      <c r="V109" s="168"/>
      <c r="W109" s="168"/>
      <c r="X109" s="168"/>
      <c r="Y109" s="168"/>
      <c r="Z109" s="168"/>
      <c r="AA109" s="168"/>
      <c r="AB109" s="168"/>
      <c r="AC109" s="168"/>
      <c r="AD109" s="151"/>
      <c r="AE109" s="168"/>
      <c r="AF109" s="168"/>
      <c r="AG109" s="168"/>
      <c r="AH109" s="151"/>
      <c r="AI109" s="168"/>
      <c r="AJ109" s="168"/>
      <c r="AK109" s="168"/>
      <c r="AL109" s="168"/>
      <c r="AM109" s="168"/>
      <c r="AN109" s="168"/>
      <c r="AO109" s="168"/>
      <c r="AP109" s="168"/>
      <c r="AQ109" s="168"/>
      <c r="AR109" s="168"/>
      <c r="AS109" s="168"/>
      <c r="AT109" s="168"/>
      <c r="AU109" s="168"/>
      <c r="AV109" s="168"/>
      <c r="AW109" s="168"/>
      <c r="AX109" s="168"/>
      <c r="AY109" s="168"/>
      <c r="AZ109" s="168"/>
      <c r="BA109" s="168"/>
      <c r="BB109" s="168"/>
      <c r="BC109" s="168"/>
      <c r="BD109" s="168"/>
      <c r="BE109" s="168"/>
      <c r="BF109" s="168"/>
      <c r="BG109" s="168"/>
      <c r="BH109" s="168"/>
      <c r="BI109" s="168"/>
      <c r="BJ109" s="168"/>
      <c r="BK109" s="168"/>
      <c r="BL109" s="168"/>
      <c r="BM109" s="168"/>
      <c r="BN109" s="168"/>
      <c r="BO109" s="168"/>
      <c r="BP109" s="168"/>
      <c r="BQ109" s="168"/>
      <c r="BR109" s="168"/>
    </row>
    <row r="110" spans="1:70" s="152" customFormat="1" x14ac:dyDescent="0.35">
      <c r="A110" s="180" t="s">
        <v>0</v>
      </c>
      <c r="B110" s="209" t="s">
        <v>7</v>
      </c>
      <c r="C110" s="182" t="s">
        <v>8</v>
      </c>
      <c r="D110" s="182" t="s">
        <v>9</v>
      </c>
      <c r="E110" s="182" t="s">
        <v>10</v>
      </c>
      <c r="F110" s="182" t="s">
        <v>11</v>
      </c>
      <c r="G110" s="209" t="s">
        <v>12</v>
      </c>
      <c r="H110" s="182" t="s">
        <v>13</v>
      </c>
      <c r="I110" s="182" t="s">
        <v>14</v>
      </c>
      <c r="J110" s="182" t="s">
        <v>15</v>
      </c>
      <c r="K110" s="182" t="s">
        <v>16</v>
      </c>
      <c r="L110" s="183" t="s">
        <v>17</v>
      </c>
      <c r="M110" s="184" t="s">
        <v>23</v>
      </c>
      <c r="N110" s="184" t="s">
        <v>24</v>
      </c>
      <c r="O110" s="185" t="s">
        <v>18</v>
      </c>
      <c r="P110" s="159"/>
      <c r="Q110" s="168"/>
      <c r="R110" s="147"/>
      <c r="S110" s="168"/>
      <c r="T110" s="168"/>
      <c r="U110" s="168"/>
      <c r="V110" s="168"/>
      <c r="W110" s="168"/>
      <c r="X110" s="168"/>
      <c r="Y110" s="168"/>
      <c r="Z110" s="168"/>
      <c r="AA110" s="168"/>
      <c r="AB110" s="168"/>
      <c r="AC110" s="168"/>
      <c r="AD110" s="151"/>
      <c r="AE110" s="168"/>
      <c r="AF110" s="168"/>
      <c r="AG110" s="168"/>
      <c r="AH110" s="151"/>
      <c r="AI110" s="168"/>
      <c r="AJ110" s="168"/>
      <c r="AK110" s="168"/>
      <c r="AL110" s="168"/>
      <c r="AM110" s="168"/>
      <c r="AN110" s="168"/>
      <c r="AO110" s="168"/>
      <c r="AP110" s="168"/>
      <c r="AQ110" s="168"/>
      <c r="AR110" s="168"/>
      <c r="AS110" s="168"/>
      <c r="AT110" s="168"/>
      <c r="AU110" s="168"/>
      <c r="AV110" s="168"/>
      <c r="AW110" s="168"/>
      <c r="AX110" s="168"/>
      <c r="AY110" s="168"/>
      <c r="AZ110" s="168"/>
      <c r="BA110" s="168"/>
      <c r="BB110" s="168"/>
      <c r="BC110" s="168"/>
      <c r="BD110" s="168"/>
      <c r="BE110" s="168"/>
      <c r="BF110" s="168"/>
      <c r="BG110" s="168"/>
      <c r="BH110" s="168"/>
      <c r="BI110" s="168"/>
      <c r="BJ110" s="168"/>
      <c r="BK110" s="168"/>
      <c r="BL110" s="168"/>
      <c r="BM110" s="168"/>
      <c r="BN110" s="168"/>
      <c r="BO110" s="168"/>
      <c r="BP110" s="168"/>
      <c r="BQ110" s="168"/>
      <c r="BR110" s="168"/>
    </row>
    <row r="111" spans="1:70" s="152" customFormat="1" x14ac:dyDescent="0.35">
      <c r="A111" s="154" t="s">
        <v>33</v>
      </c>
      <c r="B111" s="217">
        <v>466</v>
      </c>
      <c r="C111" s="199">
        <v>466</v>
      </c>
      <c r="D111" s="199">
        <v>466</v>
      </c>
      <c r="E111" s="199">
        <v>466</v>
      </c>
      <c r="F111" s="199">
        <v>466</v>
      </c>
      <c r="G111" s="217">
        <v>466</v>
      </c>
      <c r="H111" s="199">
        <v>466</v>
      </c>
      <c r="I111" s="199">
        <v>466</v>
      </c>
      <c r="J111" s="199">
        <v>466</v>
      </c>
      <c r="K111" s="199">
        <v>466</v>
      </c>
      <c r="L111" s="199">
        <v>466</v>
      </c>
      <c r="M111" s="199">
        <v>466</v>
      </c>
      <c r="N111" s="199">
        <v>466</v>
      </c>
      <c r="O111" s="200">
        <f>SUM(B111:N111)</f>
        <v>6058</v>
      </c>
      <c r="P111" s="159"/>
      <c r="Q111" s="168"/>
      <c r="R111" s="147"/>
      <c r="S111" s="168"/>
      <c r="T111" s="168"/>
      <c r="U111" s="168"/>
      <c r="V111" s="168"/>
      <c r="W111" s="168"/>
      <c r="X111" s="168"/>
      <c r="Y111" s="168"/>
      <c r="Z111" s="168"/>
      <c r="AA111" s="168"/>
      <c r="AB111" s="168"/>
      <c r="AC111" s="168"/>
      <c r="AD111" s="151"/>
      <c r="AE111" s="168"/>
      <c r="AF111" s="168"/>
      <c r="AG111" s="168"/>
      <c r="AH111" s="151"/>
      <c r="AI111" s="168"/>
      <c r="AJ111" s="168"/>
      <c r="AK111" s="168"/>
      <c r="AL111" s="168"/>
      <c r="AM111" s="168"/>
      <c r="AN111" s="168"/>
      <c r="AO111" s="168"/>
      <c r="AP111" s="168"/>
      <c r="AQ111" s="168"/>
      <c r="AR111" s="168"/>
      <c r="AS111" s="168"/>
      <c r="AT111" s="168"/>
      <c r="AU111" s="168"/>
      <c r="AV111" s="168"/>
      <c r="AW111" s="168"/>
      <c r="AX111" s="168"/>
      <c r="AY111" s="168"/>
      <c r="AZ111" s="168"/>
      <c r="BA111" s="168"/>
      <c r="BB111" s="168"/>
      <c r="BC111" s="168"/>
      <c r="BD111" s="168"/>
      <c r="BE111" s="168"/>
      <c r="BF111" s="168"/>
      <c r="BG111" s="168"/>
      <c r="BH111" s="168"/>
      <c r="BI111" s="168"/>
      <c r="BJ111" s="168"/>
      <c r="BK111" s="168"/>
      <c r="BL111" s="168"/>
      <c r="BM111" s="168"/>
      <c r="BN111" s="168"/>
      <c r="BO111" s="168"/>
      <c r="BP111" s="168"/>
      <c r="BQ111" s="168"/>
      <c r="BR111" s="168"/>
    </row>
    <row r="112" spans="1:70" s="158" customFormat="1" x14ac:dyDescent="0.35">
      <c r="A112" s="187" t="s">
        <v>20</v>
      </c>
      <c r="B112" s="218">
        <f>'housing proportion projections'!I41</f>
        <v>72.276236548524039</v>
      </c>
      <c r="C112" s="218">
        <f>'housing proportion projections'!J41</f>
        <v>72.276236548524039</v>
      </c>
      <c r="D112" s="218">
        <f>'housing proportion projections'!K41</f>
        <v>72.276236548524039</v>
      </c>
      <c r="E112" s="218">
        <f>'housing proportion projections'!L41</f>
        <v>72.276236548524039</v>
      </c>
      <c r="F112" s="218">
        <f>'housing proportion projections'!M41</f>
        <v>72.276236548524039</v>
      </c>
      <c r="G112" s="218">
        <f>'housing proportion projections'!N41</f>
        <v>72.276236548524039</v>
      </c>
      <c r="H112" s="218">
        <f>'housing proportion projections'!O41</f>
        <v>72.276236548524039</v>
      </c>
      <c r="I112" s="218">
        <f>'housing proportion projections'!P41</f>
        <v>72.276236548524039</v>
      </c>
      <c r="J112" s="218">
        <f>'housing proportion projections'!Q41</f>
        <v>72.276236548524039</v>
      </c>
      <c r="K112" s="218">
        <f>'housing proportion projections'!R41</f>
        <v>72.276236548524039</v>
      </c>
      <c r="L112" s="218">
        <f>'housing proportion projections'!S41</f>
        <v>72.276236548524039</v>
      </c>
      <c r="M112" s="218">
        <f>'housing proportion projections'!T41</f>
        <v>72.276236548524039</v>
      </c>
      <c r="N112" s="218">
        <f>'housing proportion projections'!U41</f>
        <v>72.276236548524039</v>
      </c>
      <c r="O112" s="200">
        <f t="shared" ref="O112:O115" si="172">SUM(B112:N112)</f>
        <v>939.59107513081244</v>
      </c>
      <c r="P112" s="167"/>
      <c r="Q112" s="168"/>
      <c r="R112" s="147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51"/>
      <c r="AE112" s="168"/>
      <c r="AF112" s="168"/>
      <c r="AG112" s="168"/>
      <c r="AH112" s="151"/>
      <c r="AI112" s="168"/>
      <c r="AJ112" s="168"/>
      <c r="AK112" s="168"/>
      <c r="AL112" s="168"/>
      <c r="AM112" s="168"/>
      <c r="AN112" s="168"/>
      <c r="AO112" s="168"/>
      <c r="AP112" s="168"/>
      <c r="AQ112" s="168"/>
      <c r="AR112" s="168"/>
      <c r="AS112" s="168"/>
      <c r="AT112" s="168"/>
      <c r="AU112" s="168"/>
      <c r="AV112" s="168"/>
      <c r="AW112" s="168"/>
      <c r="AX112" s="168"/>
      <c r="AY112" s="168"/>
      <c r="AZ112" s="168"/>
      <c r="BA112" s="168"/>
      <c r="BB112" s="168"/>
      <c r="BC112" s="168"/>
      <c r="BD112" s="168"/>
      <c r="BE112" s="168"/>
      <c r="BF112" s="168"/>
      <c r="BG112" s="168"/>
      <c r="BH112" s="168"/>
      <c r="BI112" s="168"/>
      <c r="BJ112" s="168"/>
      <c r="BK112" s="168"/>
      <c r="BL112" s="168"/>
      <c r="BM112" s="168"/>
      <c r="BN112" s="168"/>
      <c r="BO112" s="168"/>
      <c r="BP112" s="168"/>
      <c r="BQ112" s="168"/>
      <c r="BR112" s="168"/>
    </row>
    <row r="113" spans="1:70" s="152" customFormat="1" ht="15" thickBot="1" x14ac:dyDescent="0.4">
      <c r="A113" s="187" t="s">
        <v>21</v>
      </c>
      <c r="B113" s="218">
        <f>'housing proportion projections'!I42</f>
        <v>139.53776285911738</v>
      </c>
      <c r="C113" s="218">
        <f>'housing proportion projections'!J42</f>
        <v>139.53776285911738</v>
      </c>
      <c r="D113" s="218">
        <f>'housing proportion projections'!K42</f>
        <v>139.53776285911738</v>
      </c>
      <c r="E113" s="218">
        <f>'housing proportion projections'!L42</f>
        <v>139.53776285911738</v>
      </c>
      <c r="F113" s="218">
        <f>'housing proportion projections'!M42</f>
        <v>139.53776285911738</v>
      </c>
      <c r="G113" s="218">
        <f>'housing proportion projections'!N42</f>
        <v>139.53776285911738</v>
      </c>
      <c r="H113" s="218">
        <f>'housing proportion projections'!O42</f>
        <v>139.53776285911738</v>
      </c>
      <c r="I113" s="218">
        <f>'housing proportion projections'!P42</f>
        <v>139.53776285911738</v>
      </c>
      <c r="J113" s="218">
        <f>'housing proportion projections'!Q42</f>
        <v>139.53776285911738</v>
      </c>
      <c r="K113" s="218">
        <f>'housing proportion projections'!R42</f>
        <v>139.53776285911738</v>
      </c>
      <c r="L113" s="218">
        <f>'housing proportion projections'!S42</f>
        <v>139.53776285911738</v>
      </c>
      <c r="M113" s="218">
        <f>'housing proportion projections'!T42</f>
        <v>139.53776285911738</v>
      </c>
      <c r="N113" s="218">
        <f>'housing proportion projections'!U42</f>
        <v>139.53776285911738</v>
      </c>
      <c r="O113" s="200">
        <f t="shared" si="172"/>
        <v>1813.9909171685254</v>
      </c>
      <c r="P113" s="159"/>
      <c r="Q113" s="168"/>
      <c r="R113" s="147"/>
      <c r="S113" s="168"/>
      <c r="T113" s="168"/>
      <c r="U113" s="168"/>
      <c r="V113" s="168"/>
      <c r="W113" s="168"/>
      <c r="X113" s="168"/>
      <c r="Y113" s="168"/>
      <c r="Z113" s="168"/>
      <c r="AA113" s="168"/>
      <c r="AB113" s="168"/>
      <c r="AC113" s="168"/>
      <c r="AD113" s="151"/>
      <c r="AE113" s="168"/>
      <c r="AF113" s="168"/>
      <c r="AG113" s="168"/>
      <c r="AH113" s="151"/>
      <c r="AI113" s="168"/>
      <c r="AJ113" s="168"/>
      <c r="AK113" s="168"/>
      <c r="AL113" s="168"/>
      <c r="AM113" s="168"/>
      <c r="AN113" s="168"/>
      <c r="AO113" s="168"/>
      <c r="AP113" s="168"/>
      <c r="AQ113" s="168"/>
      <c r="AR113" s="168"/>
      <c r="AS113" s="168"/>
      <c r="AT113" s="168"/>
      <c r="AU113" s="168"/>
      <c r="AV113" s="168"/>
      <c r="AW113" s="168"/>
      <c r="AX113" s="168"/>
      <c r="AY113" s="168"/>
      <c r="AZ113" s="168"/>
      <c r="BA113" s="168"/>
      <c r="BB113" s="168"/>
      <c r="BC113" s="168"/>
      <c r="BD113" s="168"/>
      <c r="BE113" s="168"/>
      <c r="BF113" s="168"/>
      <c r="BG113" s="168"/>
      <c r="BH113" s="168"/>
      <c r="BI113" s="168"/>
      <c r="BJ113" s="168"/>
      <c r="BK113" s="168"/>
      <c r="BL113" s="168"/>
      <c r="BM113" s="168"/>
      <c r="BN113" s="168"/>
      <c r="BO113" s="168"/>
      <c r="BP113" s="168"/>
      <c r="BQ113" s="168"/>
      <c r="BR113" s="168"/>
    </row>
    <row r="114" spans="1:70" s="156" customFormat="1" x14ac:dyDescent="0.35">
      <c r="A114" s="187" t="s">
        <v>26</v>
      </c>
      <c r="B114" s="218">
        <f>'housing proportion projections'!I43</f>
        <v>182.23180965544475</v>
      </c>
      <c r="C114" s="218">
        <f>'housing proportion projections'!J43</f>
        <v>182.23180965544475</v>
      </c>
      <c r="D114" s="218">
        <f>'housing proportion projections'!K43</f>
        <v>182.23180965544475</v>
      </c>
      <c r="E114" s="218">
        <f>'housing proportion projections'!L43</f>
        <v>182.23180965544475</v>
      </c>
      <c r="F114" s="218">
        <f>'housing proportion projections'!M43</f>
        <v>182.23180965544475</v>
      </c>
      <c r="G114" s="218">
        <f>'housing proportion projections'!N43</f>
        <v>182.23180965544475</v>
      </c>
      <c r="H114" s="218">
        <f>'housing proportion projections'!O43</f>
        <v>182.23180965544475</v>
      </c>
      <c r="I114" s="218">
        <f>'housing proportion projections'!P43</f>
        <v>182.23180965544475</v>
      </c>
      <c r="J114" s="218">
        <f>'housing proportion projections'!Q43</f>
        <v>182.23180965544475</v>
      </c>
      <c r="K114" s="218">
        <f>'housing proportion projections'!R43</f>
        <v>182.23180965544475</v>
      </c>
      <c r="L114" s="218">
        <f>'housing proportion projections'!S43</f>
        <v>182.23180965544475</v>
      </c>
      <c r="M114" s="218">
        <f>'housing proportion projections'!T43</f>
        <v>182.23180965544475</v>
      </c>
      <c r="N114" s="218">
        <f>'housing proportion projections'!U43</f>
        <v>182.23180965544475</v>
      </c>
      <c r="O114" s="200">
        <f t="shared" si="172"/>
        <v>2369.0135255207815</v>
      </c>
      <c r="P114" s="161"/>
      <c r="Q114" s="168"/>
      <c r="R114" s="147"/>
      <c r="S114" s="168"/>
      <c r="T114" s="168"/>
      <c r="U114" s="168"/>
      <c r="V114" s="168"/>
      <c r="W114" s="168"/>
      <c r="X114" s="168"/>
      <c r="Y114" s="168"/>
      <c r="Z114" s="168"/>
      <c r="AA114" s="168"/>
      <c r="AB114" s="168"/>
      <c r="AC114" s="168"/>
      <c r="AD114" s="151"/>
      <c r="AE114" s="168"/>
      <c r="AF114" s="168"/>
      <c r="AG114" s="168"/>
      <c r="AH114" s="151"/>
      <c r="AI114" s="168"/>
      <c r="AJ114" s="168"/>
      <c r="AK114" s="168"/>
      <c r="AL114" s="168"/>
      <c r="AM114" s="168"/>
      <c r="AN114" s="168"/>
      <c r="AO114" s="168"/>
      <c r="AP114" s="168"/>
      <c r="AQ114" s="168"/>
      <c r="AR114" s="168"/>
      <c r="AS114" s="168"/>
      <c r="AT114" s="168"/>
      <c r="AU114" s="168"/>
      <c r="AV114" s="168"/>
      <c r="AW114" s="168"/>
      <c r="AX114" s="168"/>
      <c r="AY114" s="168"/>
      <c r="AZ114" s="168"/>
      <c r="BA114" s="168"/>
      <c r="BB114" s="168"/>
      <c r="BC114" s="168"/>
      <c r="BD114" s="168"/>
      <c r="BE114" s="168"/>
      <c r="BF114" s="168"/>
      <c r="BG114" s="168"/>
      <c r="BH114" s="168"/>
      <c r="BI114" s="168"/>
      <c r="BJ114" s="168"/>
      <c r="BK114" s="168"/>
      <c r="BL114" s="168"/>
      <c r="BM114" s="168"/>
      <c r="BN114" s="168"/>
      <c r="BO114" s="168"/>
      <c r="BP114" s="168"/>
      <c r="BQ114" s="168"/>
      <c r="BR114" s="168"/>
    </row>
    <row r="115" spans="1:70" s="155" customFormat="1" x14ac:dyDescent="0.35">
      <c r="A115" s="190" t="s">
        <v>22</v>
      </c>
      <c r="B115" s="218">
        <f>'housing proportion projections'!I44</f>
        <v>71.954190936913818</v>
      </c>
      <c r="C115" s="218">
        <f>'housing proportion projections'!J44</f>
        <v>71.954190936913818</v>
      </c>
      <c r="D115" s="218">
        <f>'housing proportion projections'!K44</f>
        <v>71.954190936913818</v>
      </c>
      <c r="E115" s="218">
        <f>'housing proportion projections'!L44</f>
        <v>71.954190936913818</v>
      </c>
      <c r="F115" s="218">
        <f>'housing proportion projections'!M44</f>
        <v>71.954190936913818</v>
      </c>
      <c r="G115" s="218">
        <f>'housing proportion projections'!N44</f>
        <v>71.954190936913818</v>
      </c>
      <c r="H115" s="218">
        <f>'housing proportion projections'!O44</f>
        <v>71.954190936913818</v>
      </c>
      <c r="I115" s="218">
        <f>'housing proportion projections'!P44</f>
        <v>71.954190936913818</v>
      </c>
      <c r="J115" s="218">
        <f>'housing proportion projections'!Q44</f>
        <v>71.954190936913818</v>
      </c>
      <c r="K115" s="218">
        <f>'housing proportion projections'!R44</f>
        <v>71.954190936913818</v>
      </c>
      <c r="L115" s="218">
        <f>'housing proportion projections'!S44</f>
        <v>71.954190936913818</v>
      </c>
      <c r="M115" s="218">
        <f>'housing proportion projections'!T44</f>
        <v>71.954190936913818</v>
      </c>
      <c r="N115" s="218">
        <f>'housing proportion projections'!U44</f>
        <v>71.954190936913818</v>
      </c>
      <c r="O115" s="200">
        <f t="shared" si="172"/>
        <v>935.40448217987989</v>
      </c>
      <c r="P115" s="162"/>
      <c r="Q115" s="168"/>
      <c r="R115" s="147"/>
      <c r="S115" s="168"/>
      <c r="T115" s="168"/>
      <c r="U115" s="168"/>
      <c r="V115" s="168"/>
      <c r="W115" s="168"/>
      <c r="X115" s="168"/>
      <c r="Y115" s="168"/>
      <c r="Z115" s="168"/>
      <c r="AA115" s="168"/>
      <c r="AB115" s="168"/>
      <c r="AC115" s="168"/>
      <c r="AD115" s="151"/>
      <c r="AE115" s="168"/>
      <c r="AF115" s="168"/>
      <c r="AG115" s="168"/>
      <c r="AH115" s="151"/>
      <c r="AI115" s="168"/>
      <c r="AJ115" s="168"/>
      <c r="AK115" s="168"/>
      <c r="AL115" s="168"/>
      <c r="AM115" s="168"/>
      <c r="AN115" s="168"/>
      <c r="AO115" s="168"/>
      <c r="AP115" s="168"/>
      <c r="AQ115" s="168"/>
      <c r="AR115" s="168"/>
      <c r="AS115" s="168"/>
      <c r="AT115" s="168"/>
      <c r="AU115" s="168"/>
      <c r="AV115" s="168"/>
      <c r="AW115" s="168"/>
      <c r="AX115" s="168"/>
      <c r="AY115" s="168"/>
      <c r="AZ115" s="168"/>
      <c r="BA115" s="168"/>
      <c r="BB115" s="168"/>
      <c r="BC115" s="168"/>
      <c r="BD115" s="168"/>
      <c r="BE115" s="168"/>
      <c r="BF115" s="168"/>
      <c r="BG115" s="168"/>
      <c r="BH115" s="168"/>
      <c r="BI115" s="168"/>
      <c r="BJ115" s="168"/>
      <c r="BK115" s="168"/>
      <c r="BL115" s="168"/>
      <c r="BM115" s="168"/>
      <c r="BN115" s="168"/>
      <c r="BO115" s="168"/>
      <c r="BP115" s="168"/>
      <c r="BQ115" s="168"/>
      <c r="BR115" s="168"/>
    </row>
    <row r="116" spans="1:70" s="155" customFormat="1" ht="15" thickBot="1" x14ac:dyDescent="0.4">
      <c r="A116" s="179"/>
      <c r="B116" s="212"/>
      <c r="C116" s="179"/>
      <c r="D116" s="179"/>
      <c r="E116" s="179"/>
      <c r="F116" s="179"/>
      <c r="G116" s="212"/>
      <c r="H116" s="179"/>
      <c r="I116" s="179"/>
      <c r="J116" s="179"/>
      <c r="K116" s="179"/>
      <c r="L116" s="179"/>
      <c r="M116" s="179"/>
      <c r="N116" s="179"/>
      <c r="O116" s="179"/>
      <c r="P116" s="163"/>
      <c r="Q116" s="168"/>
      <c r="R116" s="147"/>
      <c r="S116" s="168"/>
      <c r="T116" s="168"/>
      <c r="U116" s="168"/>
      <c r="V116" s="168"/>
      <c r="W116" s="168"/>
      <c r="X116" s="168"/>
      <c r="Y116" s="168"/>
      <c r="Z116" s="168"/>
      <c r="AA116" s="168"/>
      <c r="AB116" s="168"/>
      <c r="AC116" s="168"/>
      <c r="AD116" s="151"/>
      <c r="AE116" s="168"/>
      <c r="AF116" s="168"/>
      <c r="AG116" s="168"/>
      <c r="AH116" s="151"/>
      <c r="AI116" s="168"/>
      <c r="AJ116" s="168"/>
      <c r="AK116" s="168"/>
      <c r="AL116" s="168"/>
      <c r="AM116" s="168"/>
      <c r="AN116" s="168"/>
      <c r="AO116" s="168"/>
      <c r="AP116" s="168"/>
      <c r="AQ116" s="168"/>
      <c r="AR116" s="168"/>
      <c r="AS116" s="168"/>
      <c r="AT116" s="168"/>
      <c r="AU116" s="168"/>
      <c r="AV116" s="168"/>
      <c r="AW116" s="168"/>
      <c r="AX116" s="168"/>
      <c r="AY116" s="168"/>
      <c r="AZ116" s="168"/>
      <c r="BA116" s="168"/>
      <c r="BB116" s="168"/>
      <c r="BC116" s="168"/>
      <c r="BD116" s="168"/>
      <c r="BE116" s="168"/>
      <c r="BF116" s="168"/>
      <c r="BG116" s="168"/>
      <c r="BH116" s="168"/>
      <c r="BI116" s="168"/>
      <c r="BJ116" s="168"/>
      <c r="BK116" s="168"/>
      <c r="BL116" s="168"/>
      <c r="BM116" s="168"/>
      <c r="BN116" s="168"/>
      <c r="BO116" s="168"/>
      <c r="BP116" s="168"/>
      <c r="BQ116" s="168"/>
      <c r="BR116" s="168"/>
    </row>
    <row r="117" spans="1:70" s="155" customFormat="1" x14ac:dyDescent="0.35">
      <c r="A117" s="191" t="s">
        <v>134</v>
      </c>
      <c r="B117" s="213"/>
      <c r="C117" s="192"/>
      <c r="D117" s="192"/>
      <c r="E117" s="192"/>
      <c r="F117" s="192"/>
      <c r="G117" s="213"/>
      <c r="H117" s="192"/>
      <c r="I117" s="192"/>
      <c r="J117" s="192"/>
      <c r="K117" s="192"/>
      <c r="L117" s="192"/>
      <c r="M117" s="192"/>
      <c r="N117" s="192"/>
      <c r="O117" s="192"/>
      <c r="P117" s="162"/>
      <c r="Q117" s="168"/>
      <c r="R117" s="147"/>
      <c r="S117" s="168"/>
      <c r="T117" s="168"/>
      <c r="U117" s="168"/>
      <c r="V117" s="168"/>
      <c r="W117" s="168"/>
      <c r="X117" s="168"/>
      <c r="Y117" s="168"/>
      <c r="Z117" s="168"/>
      <c r="AA117" s="168"/>
      <c r="AB117" s="168"/>
      <c r="AC117" s="168"/>
      <c r="AD117" s="151"/>
      <c r="AE117" s="168"/>
      <c r="AF117" s="168"/>
      <c r="AG117" s="168"/>
      <c r="AH117" s="151"/>
      <c r="AI117" s="168"/>
      <c r="AJ117" s="168"/>
      <c r="AK117" s="168"/>
      <c r="AL117" s="168"/>
      <c r="AM117" s="168"/>
      <c r="AN117" s="168"/>
      <c r="AO117" s="168"/>
      <c r="AP117" s="168"/>
      <c r="AQ117" s="168"/>
      <c r="AR117" s="168"/>
      <c r="AS117" s="168"/>
      <c r="AT117" s="168"/>
      <c r="AU117" s="168"/>
      <c r="AV117" s="168"/>
      <c r="AW117" s="168"/>
      <c r="AX117" s="168"/>
      <c r="AY117" s="168"/>
      <c r="AZ117" s="168"/>
      <c r="BA117" s="168"/>
      <c r="BB117" s="168"/>
      <c r="BC117" s="168"/>
      <c r="BD117" s="168"/>
      <c r="BE117" s="168"/>
      <c r="BF117" s="168"/>
      <c r="BG117" s="168"/>
      <c r="BH117" s="168"/>
      <c r="BI117" s="168"/>
      <c r="BJ117" s="168"/>
      <c r="BK117" s="168"/>
      <c r="BL117" s="168"/>
      <c r="BM117" s="168"/>
      <c r="BN117" s="168"/>
      <c r="BO117" s="168"/>
      <c r="BP117" s="168"/>
      <c r="BQ117" s="168"/>
      <c r="BR117" s="168"/>
    </row>
    <row r="118" spans="1:70" s="157" customFormat="1" ht="15" thickBot="1" x14ac:dyDescent="0.4">
      <c r="A118" s="193" t="s">
        <v>112</v>
      </c>
      <c r="B118" s="214">
        <f>30*((B112*$AF$17)+(B113*$AF$18)+(B114*$AF$19)+(B115*$AF$20))+'scenario 1'!B118</f>
        <v>9646353.0656433925</v>
      </c>
      <c r="C118" s="214">
        <f>30*((C112*$AF$17)+(C113*$AF$18)+(C114*$AF$19)+(C115*$AF$20))+'scenario 1'!C118</f>
        <v>9646353.0656433925</v>
      </c>
      <c r="D118" s="214">
        <f>30*((D112*$AF$17)+(D113*$AF$18)+(D114*$AF$19)+(D115*$AF$20))+'scenario 1'!D118</f>
        <v>9646353.0656433925</v>
      </c>
      <c r="E118" s="214">
        <f>30*((E112*$AF$17)+(E113*$AF$18)+(E114*$AF$19)+(E115*$AF$20))+'scenario 1'!E118</f>
        <v>9646353.0656433925</v>
      </c>
      <c r="F118" s="214">
        <f>30*((F112*$AF$17)+(F113*$AF$18)+(F114*$AF$19)+(F115*$AF$20))+'scenario 1'!F118</f>
        <v>9646353.0656433925</v>
      </c>
      <c r="G118" s="214">
        <f>30*((G112*$AJ$17)+(G113*$AJ$18)+(G114*$AJ$19)+(G115*$AJ$20))+'scenario 1'!G118</f>
        <v>7936401.4124538247</v>
      </c>
      <c r="H118" s="214">
        <f>30*((H112*$AJ$17)+(H113*$AJ$18)+(H114*$AJ$19)+(H115*$AJ$20))+'scenario 1'!H118</f>
        <v>7936401.4124538247</v>
      </c>
      <c r="I118" s="214">
        <f>30*((I112*$AJ$17)+(I113*$AJ$18)+(I114*$AJ$19)+(I115*$AJ$20))+'scenario 1'!I118</f>
        <v>7936401.4124538247</v>
      </c>
      <c r="J118" s="214">
        <f>30*((J112*$AJ$17)+(J113*$AJ$18)+(J114*$AJ$19)+(J115*$AJ$20))+'scenario 1'!J118</f>
        <v>7936401.4124538247</v>
      </c>
      <c r="K118" s="214">
        <f>30*((K112*$AJ$17)+(K113*$AJ$18)+(K114*$AJ$19)+(K115*$AJ$20))+'scenario 1'!K118</f>
        <v>7936401.4124538247</v>
      </c>
      <c r="L118" s="214">
        <f>30*((L112*$AJ$17)+(L113*$AJ$18)+(L114*$AJ$19)+(L115*$AJ$20))+'scenario 1'!L118</f>
        <v>7936401.4124538247</v>
      </c>
      <c r="M118" s="214">
        <f>30*((M112*$AJ$17)+(M113*$AJ$18)+(M114*$AJ$19)+(M115*$AJ$20))+'scenario 1'!M118</f>
        <v>7936401.4124538247</v>
      </c>
      <c r="N118" s="214">
        <f>30*((N112*$AJ$17)+(N113*$AJ$18)+(N114*$AJ$19)+(N115*$AJ$20))+'scenario 1'!N118</f>
        <v>7936401.4124538247</v>
      </c>
      <c r="O118" s="214">
        <f>SUM(B118:N118)</f>
        <v>111722976.62784758</v>
      </c>
      <c r="P118" s="164"/>
      <c r="Q118" s="168"/>
      <c r="R118" s="147"/>
      <c r="S118" s="168"/>
      <c r="T118" s="168"/>
      <c r="U118" s="168"/>
      <c r="V118" s="168"/>
      <c r="W118" s="168"/>
      <c r="X118" s="168"/>
      <c r="Y118" s="168"/>
      <c r="Z118" s="168"/>
      <c r="AA118" s="168"/>
      <c r="AB118" s="168"/>
      <c r="AC118" s="168"/>
      <c r="AD118" s="151"/>
      <c r="AE118" s="168"/>
      <c r="AF118" s="168"/>
      <c r="AG118" s="168"/>
      <c r="AH118" s="151"/>
      <c r="AI118" s="168"/>
      <c r="AJ118" s="168"/>
      <c r="AK118" s="168"/>
      <c r="AL118" s="168"/>
      <c r="AM118" s="168"/>
      <c r="AN118" s="168"/>
      <c r="AO118" s="168"/>
      <c r="AP118" s="168"/>
      <c r="AQ118" s="168"/>
      <c r="AR118" s="168"/>
      <c r="AS118" s="168"/>
      <c r="AT118" s="168"/>
      <c r="AU118" s="168"/>
      <c r="AV118" s="168"/>
      <c r="AW118" s="168"/>
      <c r="AX118" s="168"/>
      <c r="AY118" s="168"/>
      <c r="AZ118" s="168"/>
      <c r="BA118" s="168"/>
      <c r="BB118" s="168"/>
      <c r="BC118" s="168"/>
      <c r="BD118" s="168"/>
      <c r="BE118" s="168"/>
      <c r="BF118" s="168"/>
      <c r="BG118" s="168"/>
      <c r="BH118" s="168"/>
      <c r="BI118" s="168"/>
      <c r="BJ118" s="168"/>
      <c r="BK118" s="168"/>
      <c r="BL118" s="168"/>
      <c r="BM118" s="168"/>
      <c r="BN118" s="168"/>
      <c r="BO118" s="168"/>
      <c r="BP118" s="168"/>
      <c r="BQ118" s="168"/>
      <c r="BR118" s="168"/>
    </row>
    <row r="119" spans="1:70" s="157" customFormat="1" ht="15" thickBot="1" x14ac:dyDescent="0.4">
      <c r="A119" s="193" t="s">
        <v>113</v>
      </c>
      <c r="B119" s="214">
        <f t="shared" ref="B119" si="173">B118/1000</f>
        <v>9646.3530656433923</v>
      </c>
      <c r="C119" s="214">
        <f t="shared" ref="C119" si="174">C118/1000</f>
        <v>9646.3530656433923</v>
      </c>
      <c r="D119" s="214">
        <f t="shared" ref="D119" si="175">D118/1000</f>
        <v>9646.3530656433923</v>
      </c>
      <c r="E119" s="214">
        <f t="shared" ref="E119" si="176">E118/1000</f>
        <v>9646.3530656433923</v>
      </c>
      <c r="F119" s="214">
        <f t="shared" ref="F119" si="177">F118/1000</f>
        <v>9646.3530656433923</v>
      </c>
      <c r="G119" s="214">
        <f t="shared" ref="G119" si="178">G118/1000</f>
        <v>7936.4014124538244</v>
      </c>
      <c r="H119" s="214">
        <f t="shared" ref="H119" si="179">H118/1000</f>
        <v>7936.4014124538244</v>
      </c>
      <c r="I119" s="214">
        <f t="shared" ref="I119" si="180">I118/1000</f>
        <v>7936.4014124538244</v>
      </c>
      <c r="J119" s="214">
        <f t="shared" ref="J119" si="181">J118/1000</f>
        <v>7936.4014124538244</v>
      </c>
      <c r="K119" s="214">
        <f t="shared" ref="K119" si="182">K118/1000</f>
        <v>7936.4014124538244</v>
      </c>
      <c r="L119" s="214">
        <f t="shared" ref="L119" si="183">L118/1000</f>
        <v>7936.4014124538244</v>
      </c>
      <c r="M119" s="214">
        <f t="shared" ref="M119" si="184">M118/1000</f>
        <v>7936.4014124538244</v>
      </c>
      <c r="N119" s="214">
        <f t="shared" ref="N119" si="185">N118/1000</f>
        <v>7936.4014124538244</v>
      </c>
      <c r="O119" s="214">
        <f t="shared" ref="O119" si="186">O118/1000</f>
        <v>111722.97662784759</v>
      </c>
      <c r="P119" s="164"/>
      <c r="Q119" s="168"/>
      <c r="R119" s="147"/>
      <c r="S119" s="168"/>
      <c r="T119" s="168"/>
      <c r="U119" s="168"/>
      <c r="V119" s="168"/>
      <c r="W119" s="168"/>
      <c r="X119" s="168"/>
      <c r="Y119" s="168"/>
      <c r="Z119" s="168"/>
      <c r="AA119" s="168"/>
      <c r="AB119" s="168"/>
      <c r="AC119" s="168"/>
      <c r="AD119" s="151"/>
      <c r="AE119" s="168"/>
      <c r="AF119" s="168"/>
      <c r="AG119" s="168"/>
      <c r="AH119" s="151"/>
      <c r="AI119" s="168"/>
      <c r="AJ119" s="168"/>
      <c r="AK119" s="168"/>
      <c r="AL119" s="168"/>
      <c r="AM119" s="168"/>
      <c r="AN119" s="168"/>
      <c r="AO119" s="168"/>
      <c r="AP119" s="168"/>
      <c r="AQ119" s="168"/>
      <c r="AR119" s="168"/>
      <c r="AS119" s="168"/>
      <c r="AT119" s="168"/>
      <c r="AU119" s="168"/>
      <c r="AV119" s="168"/>
      <c r="AW119" s="168"/>
      <c r="AX119" s="168"/>
      <c r="AY119" s="168"/>
      <c r="AZ119" s="168"/>
      <c r="BA119" s="168"/>
      <c r="BB119" s="168"/>
      <c r="BC119" s="168"/>
      <c r="BD119" s="168"/>
      <c r="BE119" s="168"/>
      <c r="BF119" s="168"/>
      <c r="BG119" s="168"/>
      <c r="BH119" s="168"/>
      <c r="BI119" s="168"/>
      <c r="BJ119" s="168"/>
      <c r="BK119" s="168"/>
      <c r="BL119" s="168"/>
      <c r="BM119" s="168"/>
      <c r="BN119" s="168"/>
      <c r="BO119" s="168"/>
      <c r="BP119" s="168"/>
      <c r="BQ119" s="168"/>
      <c r="BR119" s="168"/>
    </row>
    <row r="120" spans="1:70" s="152" customFormat="1" x14ac:dyDescent="0.35">
      <c r="A120" s="193" t="s">
        <v>64</v>
      </c>
      <c r="B120" s="215">
        <f>B119*$AB$3</f>
        <v>1929270.6131286784</v>
      </c>
      <c r="C120" s="215">
        <f t="shared" ref="C120" si="187">C119*$AB$3</f>
        <v>1929270.6131286784</v>
      </c>
      <c r="D120" s="215">
        <f t="shared" ref="D120" si="188">D119*$AB$3</f>
        <v>1929270.6131286784</v>
      </c>
      <c r="E120" s="215">
        <f t="shared" ref="E120" si="189">E119*$AB$3</f>
        <v>1929270.6131286784</v>
      </c>
      <c r="F120" s="215">
        <f t="shared" ref="F120" si="190">F119*$AB$3</f>
        <v>1929270.6131286784</v>
      </c>
      <c r="G120" s="215">
        <f t="shared" ref="G120" si="191">G119*$AB$3</f>
        <v>1587280.282490765</v>
      </c>
      <c r="H120" s="215">
        <f t="shared" ref="H120" si="192">H119*$AB$3</f>
        <v>1587280.282490765</v>
      </c>
      <c r="I120" s="215">
        <f t="shared" ref="I120" si="193">I119*$AB$3</f>
        <v>1587280.282490765</v>
      </c>
      <c r="J120" s="215">
        <f t="shared" ref="J120" si="194">J119*$AB$3</f>
        <v>1587280.282490765</v>
      </c>
      <c r="K120" s="215">
        <f t="shared" ref="K120" si="195">K119*$AB$3</f>
        <v>1587280.282490765</v>
      </c>
      <c r="L120" s="215">
        <f t="shared" ref="L120" si="196">L119*$AB$3</f>
        <v>1587280.282490765</v>
      </c>
      <c r="M120" s="215">
        <f t="shared" ref="M120" si="197">M119*$AB$3</f>
        <v>1587280.282490765</v>
      </c>
      <c r="N120" s="215">
        <f t="shared" ref="N120" si="198">N119*$AB$3</f>
        <v>1587280.282490765</v>
      </c>
      <c r="O120" s="215">
        <f t="shared" ref="O120" si="199">O119*$AB$3</f>
        <v>22344595.325569518</v>
      </c>
      <c r="P120" s="159"/>
      <c r="Q120" s="168"/>
      <c r="R120" s="147"/>
      <c r="S120" s="168"/>
      <c r="T120" s="168"/>
      <c r="U120" s="168"/>
      <c r="V120" s="168"/>
      <c r="W120" s="168"/>
      <c r="X120" s="168"/>
      <c r="Y120" s="168"/>
      <c r="Z120" s="168"/>
      <c r="AA120" s="168"/>
      <c r="AB120" s="168"/>
      <c r="AC120" s="168"/>
      <c r="AD120" s="151"/>
      <c r="AE120" s="168"/>
      <c r="AF120" s="168"/>
      <c r="AG120" s="168"/>
      <c r="AH120" s="151"/>
      <c r="AI120" s="168"/>
      <c r="AJ120" s="168"/>
      <c r="AK120" s="168"/>
      <c r="AL120" s="168"/>
      <c r="AM120" s="168"/>
      <c r="AN120" s="168"/>
      <c r="AO120" s="168"/>
      <c r="AP120" s="168"/>
      <c r="AQ120" s="168"/>
      <c r="AR120" s="168"/>
      <c r="AS120" s="168"/>
      <c r="AT120" s="168"/>
      <c r="AU120" s="168"/>
      <c r="AV120" s="168"/>
      <c r="AW120" s="168"/>
      <c r="AX120" s="168"/>
      <c r="AY120" s="168"/>
      <c r="AZ120" s="168"/>
      <c r="BA120" s="168"/>
      <c r="BB120" s="168"/>
      <c r="BC120" s="168"/>
      <c r="BD120" s="168"/>
      <c r="BE120" s="168"/>
      <c r="BF120" s="168"/>
      <c r="BG120" s="168"/>
      <c r="BH120" s="168"/>
      <c r="BI120" s="168"/>
      <c r="BJ120" s="168"/>
      <c r="BK120" s="168"/>
      <c r="BL120" s="168"/>
      <c r="BM120" s="168"/>
      <c r="BN120" s="168"/>
      <c r="BO120" s="168"/>
      <c r="BP120" s="168"/>
      <c r="BQ120" s="168"/>
      <c r="BR120" s="168"/>
    </row>
    <row r="121" spans="1:70" s="152" customFormat="1" x14ac:dyDescent="0.35">
      <c r="A121" s="193"/>
      <c r="B121" s="214"/>
      <c r="C121" s="194"/>
      <c r="D121" s="194"/>
      <c r="E121" s="194"/>
      <c r="F121" s="194"/>
      <c r="G121" s="214"/>
      <c r="H121" s="194"/>
      <c r="I121" s="194"/>
      <c r="J121" s="194"/>
      <c r="K121" s="194"/>
      <c r="L121" s="194"/>
      <c r="M121" s="194"/>
      <c r="N121" s="194"/>
      <c r="O121" s="194"/>
      <c r="P121" s="159"/>
      <c r="Q121" s="168"/>
      <c r="R121" s="147"/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51"/>
      <c r="AE121" s="168"/>
      <c r="AF121" s="168"/>
      <c r="AG121" s="168"/>
      <c r="AH121" s="151"/>
      <c r="AI121" s="168"/>
      <c r="AJ121" s="168"/>
      <c r="AK121" s="168"/>
      <c r="AL121" s="168"/>
      <c r="AM121" s="168"/>
      <c r="AN121" s="168"/>
      <c r="AO121" s="168"/>
      <c r="AP121" s="168"/>
      <c r="AQ121" s="168"/>
      <c r="AR121" s="168"/>
      <c r="AS121" s="168"/>
      <c r="AT121" s="168"/>
      <c r="AU121" s="168"/>
      <c r="AV121" s="168"/>
      <c r="AW121" s="168"/>
      <c r="AX121" s="168"/>
      <c r="AY121" s="168"/>
      <c r="AZ121" s="168"/>
      <c r="BA121" s="168"/>
      <c r="BB121" s="168"/>
      <c r="BC121" s="168"/>
      <c r="BD121" s="168"/>
      <c r="BE121" s="168"/>
      <c r="BF121" s="168"/>
      <c r="BG121" s="168"/>
      <c r="BH121" s="168"/>
      <c r="BI121" s="168"/>
      <c r="BJ121" s="168"/>
      <c r="BK121" s="168"/>
      <c r="BL121" s="168"/>
      <c r="BM121" s="168"/>
      <c r="BN121" s="168"/>
      <c r="BO121" s="168"/>
      <c r="BP121" s="168"/>
      <c r="BQ121" s="168"/>
      <c r="BR121" s="168"/>
    </row>
    <row r="122" spans="1:70" s="152" customFormat="1" ht="15" thickBot="1" x14ac:dyDescent="0.4">
      <c r="A122" s="197"/>
      <c r="B122" s="216"/>
      <c r="C122" s="198"/>
      <c r="D122" s="198"/>
      <c r="E122" s="198"/>
      <c r="F122" s="198"/>
      <c r="G122" s="216"/>
      <c r="H122" s="198"/>
      <c r="I122" s="198"/>
      <c r="J122" s="198"/>
      <c r="K122" s="198"/>
      <c r="L122" s="198"/>
      <c r="M122" s="198"/>
      <c r="N122" s="198"/>
      <c r="O122" s="198"/>
      <c r="P122" s="159"/>
      <c r="Q122" s="168"/>
      <c r="R122" s="147"/>
      <c r="S122" s="168"/>
      <c r="T122" s="168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51"/>
      <c r="AE122" s="168"/>
      <c r="AF122" s="168"/>
      <c r="AG122" s="168"/>
      <c r="AH122" s="151"/>
      <c r="AI122" s="168"/>
      <c r="AJ122" s="168"/>
      <c r="AK122" s="168"/>
      <c r="AL122" s="168"/>
      <c r="AM122" s="168"/>
      <c r="AN122" s="168"/>
      <c r="AO122" s="168"/>
      <c r="AP122" s="168"/>
      <c r="AQ122" s="168"/>
      <c r="AR122" s="168"/>
      <c r="AS122" s="168"/>
      <c r="AT122" s="168"/>
      <c r="AU122" s="168"/>
      <c r="AV122" s="168"/>
      <c r="AW122" s="168"/>
      <c r="AX122" s="168"/>
      <c r="AY122" s="168"/>
      <c r="AZ122" s="168"/>
      <c r="BA122" s="168"/>
      <c r="BB122" s="168"/>
      <c r="BC122" s="168"/>
      <c r="BD122" s="168"/>
      <c r="BE122" s="168"/>
      <c r="BF122" s="168"/>
      <c r="BG122" s="168"/>
      <c r="BH122" s="168"/>
      <c r="BI122" s="168"/>
      <c r="BJ122" s="168"/>
      <c r="BK122" s="168"/>
      <c r="BL122" s="168"/>
      <c r="BM122" s="168"/>
      <c r="BN122" s="168"/>
      <c r="BO122" s="168"/>
      <c r="BP122" s="168"/>
      <c r="BQ122" s="168"/>
      <c r="BR122" s="168"/>
    </row>
    <row r="123" spans="1:70" s="152" customFormat="1" x14ac:dyDescent="0.35">
      <c r="A123" s="179"/>
      <c r="B123" s="212"/>
      <c r="C123" s="179"/>
      <c r="D123" s="179"/>
      <c r="E123" s="179"/>
      <c r="F123" s="179"/>
      <c r="G123" s="212"/>
      <c r="H123" s="179"/>
      <c r="I123" s="179"/>
      <c r="J123" s="179"/>
      <c r="K123" s="179"/>
      <c r="L123" s="179"/>
      <c r="M123" s="179"/>
      <c r="N123" s="179"/>
      <c r="O123" s="179"/>
      <c r="P123" s="160"/>
      <c r="Q123" s="168"/>
      <c r="R123" s="147"/>
      <c r="S123" s="168"/>
      <c r="T123" s="168"/>
      <c r="U123" s="168"/>
      <c r="V123" s="168"/>
      <c r="W123" s="168"/>
      <c r="X123" s="168"/>
      <c r="Y123" s="168"/>
      <c r="Z123" s="168"/>
      <c r="AA123" s="168"/>
      <c r="AB123" s="168"/>
      <c r="AC123" s="168"/>
      <c r="AD123" s="151"/>
      <c r="AE123" s="168"/>
      <c r="AF123" s="168"/>
      <c r="AG123" s="168"/>
      <c r="AH123" s="151"/>
      <c r="AI123" s="168"/>
      <c r="AJ123" s="168"/>
      <c r="AK123" s="168"/>
      <c r="AL123" s="168"/>
      <c r="AM123" s="168"/>
      <c r="AN123" s="168"/>
      <c r="AO123" s="168"/>
      <c r="AP123" s="168"/>
      <c r="AQ123" s="168"/>
      <c r="AR123" s="168"/>
      <c r="AS123" s="168"/>
      <c r="AT123" s="168"/>
      <c r="AU123" s="168"/>
      <c r="AV123" s="168"/>
      <c r="AW123" s="168"/>
      <c r="AX123" s="168"/>
      <c r="AY123" s="168"/>
      <c r="AZ123" s="168"/>
      <c r="BA123" s="168"/>
      <c r="BB123" s="168"/>
      <c r="BC123" s="168"/>
      <c r="BD123" s="168"/>
      <c r="BE123" s="168"/>
      <c r="BF123" s="168"/>
      <c r="BG123" s="168"/>
      <c r="BH123" s="168"/>
      <c r="BI123" s="168"/>
      <c r="BJ123" s="168"/>
      <c r="BK123" s="168"/>
      <c r="BL123" s="168"/>
      <c r="BM123" s="168"/>
      <c r="BN123" s="168"/>
      <c r="BO123" s="168"/>
      <c r="BP123" s="168"/>
      <c r="BQ123" s="168"/>
      <c r="BR123" s="168"/>
    </row>
    <row r="124" spans="1:70" s="152" customFormat="1" x14ac:dyDescent="0.35">
      <c r="A124" s="179"/>
      <c r="B124" s="212"/>
      <c r="C124" s="179"/>
      <c r="D124" s="179"/>
      <c r="E124" s="179"/>
      <c r="F124" s="179"/>
      <c r="G124" s="212"/>
      <c r="H124" s="179"/>
      <c r="I124" s="179"/>
      <c r="J124" s="179"/>
      <c r="K124" s="179"/>
      <c r="L124" s="179"/>
      <c r="M124" s="179"/>
      <c r="N124" s="179"/>
      <c r="O124" s="179"/>
      <c r="P124" s="159"/>
      <c r="Q124" s="168"/>
      <c r="R124" s="147"/>
      <c r="S124" s="168"/>
      <c r="T124" s="168"/>
      <c r="U124" s="168"/>
      <c r="V124" s="168"/>
      <c r="W124" s="168"/>
      <c r="X124" s="168"/>
      <c r="Y124" s="168"/>
      <c r="Z124" s="168"/>
      <c r="AA124" s="168"/>
      <c r="AB124" s="168"/>
      <c r="AC124" s="168"/>
      <c r="AD124" s="151"/>
      <c r="AE124" s="168"/>
      <c r="AF124" s="168"/>
      <c r="AG124" s="168"/>
      <c r="AH124" s="151"/>
      <c r="AI124" s="168"/>
      <c r="AJ124" s="168"/>
      <c r="AK124" s="168"/>
      <c r="AL124" s="168"/>
      <c r="AM124" s="168"/>
      <c r="AN124" s="168"/>
      <c r="AO124" s="168"/>
      <c r="AP124" s="168"/>
      <c r="AQ124" s="168"/>
      <c r="AR124" s="168"/>
      <c r="AS124" s="168"/>
      <c r="AT124" s="168"/>
      <c r="AU124" s="168"/>
      <c r="AV124" s="168"/>
      <c r="AW124" s="168"/>
      <c r="AX124" s="168"/>
      <c r="AY124" s="168"/>
      <c r="AZ124" s="168"/>
      <c r="BA124" s="168"/>
      <c r="BB124" s="168"/>
      <c r="BC124" s="168"/>
      <c r="BD124" s="168"/>
      <c r="BE124" s="168"/>
      <c r="BF124" s="168"/>
      <c r="BG124" s="168"/>
      <c r="BH124" s="168"/>
      <c r="BI124" s="168"/>
      <c r="BJ124" s="168"/>
      <c r="BK124" s="168"/>
      <c r="BL124" s="168"/>
      <c r="BM124" s="168"/>
      <c r="BN124" s="168"/>
      <c r="BO124" s="168"/>
      <c r="BP124" s="168"/>
      <c r="BQ124" s="168"/>
      <c r="BR124" s="168"/>
    </row>
    <row r="125" spans="1:70" s="152" customFormat="1" x14ac:dyDescent="0.35">
      <c r="A125" s="180" t="s">
        <v>0</v>
      </c>
      <c r="B125" s="209" t="s">
        <v>7</v>
      </c>
      <c r="C125" s="182" t="s">
        <v>8</v>
      </c>
      <c r="D125" s="182" t="s">
        <v>9</v>
      </c>
      <c r="E125" s="182" t="s">
        <v>10</v>
      </c>
      <c r="F125" s="182" t="s">
        <v>11</v>
      </c>
      <c r="G125" s="209" t="s">
        <v>12</v>
      </c>
      <c r="H125" s="182" t="s">
        <v>13</v>
      </c>
      <c r="I125" s="182" t="s">
        <v>14</v>
      </c>
      <c r="J125" s="182" t="s">
        <v>15</v>
      </c>
      <c r="K125" s="182" t="s">
        <v>16</v>
      </c>
      <c r="L125" s="183" t="s">
        <v>17</v>
      </c>
      <c r="M125" s="184" t="s">
        <v>23</v>
      </c>
      <c r="N125" s="184" t="s">
        <v>24</v>
      </c>
      <c r="O125" s="185" t="s">
        <v>18</v>
      </c>
      <c r="P125" s="159"/>
      <c r="Q125" s="168"/>
      <c r="R125" s="147"/>
      <c r="S125" s="168"/>
      <c r="T125" s="168"/>
      <c r="U125" s="168"/>
      <c r="V125" s="168"/>
      <c r="W125" s="168"/>
      <c r="X125" s="168"/>
      <c r="Y125" s="168"/>
      <c r="Z125" s="168"/>
      <c r="AA125" s="168"/>
      <c r="AB125" s="168"/>
      <c r="AC125" s="168"/>
      <c r="AD125" s="151"/>
      <c r="AE125" s="168"/>
      <c r="AF125" s="168"/>
      <c r="AG125" s="168"/>
      <c r="AH125" s="151"/>
      <c r="AI125" s="168"/>
      <c r="AJ125" s="168"/>
      <c r="AK125" s="168"/>
      <c r="AL125" s="168"/>
      <c r="AM125" s="168"/>
      <c r="AN125" s="168"/>
      <c r="AO125" s="168"/>
      <c r="AP125" s="168"/>
      <c r="AQ125" s="168"/>
      <c r="AR125" s="168"/>
      <c r="AS125" s="168"/>
      <c r="AT125" s="168"/>
      <c r="AU125" s="168"/>
      <c r="AV125" s="168"/>
      <c r="AW125" s="168"/>
      <c r="AX125" s="168"/>
      <c r="AY125" s="168"/>
      <c r="AZ125" s="168"/>
      <c r="BA125" s="168"/>
      <c r="BB125" s="168"/>
      <c r="BC125" s="168"/>
      <c r="BD125" s="168"/>
      <c r="BE125" s="168"/>
      <c r="BF125" s="168"/>
      <c r="BG125" s="168"/>
      <c r="BH125" s="168"/>
      <c r="BI125" s="168"/>
      <c r="BJ125" s="168"/>
      <c r="BK125" s="168"/>
      <c r="BL125" s="168"/>
      <c r="BM125" s="168"/>
      <c r="BN125" s="168"/>
      <c r="BO125" s="168"/>
      <c r="BP125" s="168"/>
      <c r="BQ125" s="168"/>
      <c r="BR125" s="168"/>
    </row>
    <row r="126" spans="1:70" s="152" customFormat="1" x14ac:dyDescent="0.35">
      <c r="A126" s="154" t="s">
        <v>34</v>
      </c>
      <c r="B126" s="217">
        <v>1015</v>
      </c>
      <c r="C126" s="199">
        <v>1015</v>
      </c>
      <c r="D126" s="199">
        <v>1015</v>
      </c>
      <c r="E126" s="199">
        <v>1015</v>
      </c>
      <c r="F126" s="199">
        <v>1015</v>
      </c>
      <c r="G126" s="217">
        <v>1015</v>
      </c>
      <c r="H126" s="199">
        <v>1015</v>
      </c>
      <c r="I126" s="199">
        <v>1015</v>
      </c>
      <c r="J126" s="199">
        <v>1015</v>
      </c>
      <c r="K126" s="199">
        <v>1015</v>
      </c>
      <c r="L126" s="199">
        <v>1015</v>
      </c>
      <c r="M126" s="199">
        <v>1015</v>
      </c>
      <c r="N126" s="199">
        <v>1015</v>
      </c>
      <c r="O126" s="200">
        <f>SUM(B126:N126)</f>
        <v>13195</v>
      </c>
      <c r="P126" s="159"/>
      <c r="Q126" s="168"/>
      <c r="R126" s="147"/>
      <c r="S126" s="168"/>
      <c r="T126" s="168"/>
      <c r="U126" s="168"/>
      <c r="V126" s="168"/>
      <c r="W126" s="168"/>
      <c r="X126" s="168"/>
      <c r="Y126" s="168"/>
      <c r="Z126" s="168"/>
      <c r="AA126" s="168"/>
      <c r="AB126" s="168"/>
      <c r="AC126" s="168"/>
      <c r="AD126" s="151"/>
      <c r="AE126" s="168"/>
      <c r="AF126" s="168"/>
      <c r="AG126" s="168"/>
      <c r="AH126" s="151"/>
      <c r="AI126" s="168"/>
      <c r="AJ126" s="168"/>
      <c r="AK126" s="168"/>
      <c r="AL126" s="168"/>
      <c r="AM126" s="168"/>
      <c r="AN126" s="168"/>
      <c r="AO126" s="168"/>
      <c r="AP126" s="168"/>
      <c r="AQ126" s="168"/>
      <c r="AR126" s="168"/>
      <c r="AS126" s="168"/>
      <c r="AT126" s="168"/>
      <c r="AU126" s="168"/>
      <c r="AV126" s="168"/>
      <c r="AW126" s="168"/>
      <c r="AX126" s="168"/>
      <c r="AY126" s="168"/>
      <c r="AZ126" s="168"/>
      <c r="BA126" s="168"/>
      <c r="BB126" s="168"/>
      <c r="BC126" s="168"/>
      <c r="BD126" s="168"/>
      <c r="BE126" s="168"/>
      <c r="BF126" s="168"/>
      <c r="BG126" s="168"/>
      <c r="BH126" s="168"/>
      <c r="BI126" s="168"/>
      <c r="BJ126" s="168"/>
      <c r="BK126" s="168"/>
      <c r="BL126" s="168"/>
      <c r="BM126" s="168"/>
      <c r="BN126" s="168"/>
      <c r="BO126" s="168"/>
      <c r="BP126" s="168"/>
      <c r="BQ126" s="168"/>
      <c r="BR126" s="168"/>
    </row>
    <row r="127" spans="1:70" s="158" customFormat="1" x14ac:dyDescent="0.35">
      <c r="A127" s="187" t="s">
        <v>20</v>
      </c>
      <c r="B127" s="218">
        <f>'housing proportion projections'!I46</f>
        <v>167.89397131106429</v>
      </c>
      <c r="C127" s="218">
        <f>'housing proportion projections'!J46</f>
        <v>167.89397131106429</v>
      </c>
      <c r="D127" s="218">
        <f>'housing proportion projections'!K46</f>
        <v>167.89397131106429</v>
      </c>
      <c r="E127" s="218">
        <f>'housing proportion projections'!L46</f>
        <v>167.89397131106429</v>
      </c>
      <c r="F127" s="218">
        <f>'housing proportion projections'!M46</f>
        <v>167.89397131106429</v>
      </c>
      <c r="G127" s="218">
        <f>'housing proportion projections'!N46</f>
        <v>167.89397131106429</v>
      </c>
      <c r="H127" s="218">
        <f>'housing proportion projections'!O46</f>
        <v>167.89397131106429</v>
      </c>
      <c r="I127" s="218">
        <f>'housing proportion projections'!P46</f>
        <v>167.89397131106429</v>
      </c>
      <c r="J127" s="218">
        <f>'housing proportion projections'!Q46</f>
        <v>167.89397131106429</v>
      </c>
      <c r="K127" s="218">
        <f>'housing proportion projections'!R46</f>
        <v>167.89397131106429</v>
      </c>
      <c r="L127" s="218">
        <f>'housing proportion projections'!S46</f>
        <v>167.89397131106429</v>
      </c>
      <c r="M127" s="218">
        <f>'housing proportion projections'!T46</f>
        <v>167.89397131106429</v>
      </c>
      <c r="N127" s="218">
        <f>'housing proportion projections'!U46</f>
        <v>167.89397131106429</v>
      </c>
      <c r="O127" s="200">
        <f t="shared" ref="O127:O130" si="200">SUM(B127:N127)</f>
        <v>2182.6216270438354</v>
      </c>
      <c r="P127" s="167"/>
      <c r="Q127" s="168"/>
      <c r="R127" s="147"/>
      <c r="S127" s="168"/>
      <c r="T127" s="168"/>
      <c r="U127" s="168"/>
      <c r="V127" s="168"/>
      <c r="W127" s="168"/>
      <c r="X127" s="168"/>
      <c r="Y127" s="168"/>
      <c r="Z127" s="168"/>
      <c r="AA127" s="168"/>
      <c r="AB127" s="168"/>
      <c r="AC127" s="168"/>
      <c r="AD127" s="151"/>
      <c r="AE127" s="168"/>
      <c r="AF127" s="168"/>
      <c r="AG127" s="168"/>
      <c r="AH127" s="151"/>
      <c r="AI127" s="168"/>
      <c r="AJ127" s="168"/>
      <c r="AK127" s="168"/>
      <c r="AL127" s="168"/>
      <c r="AM127" s="168"/>
      <c r="AN127" s="168"/>
      <c r="AO127" s="168"/>
      <c r="AP127" s="168"/>
      <c r="AQ127" s="168"/>
      <c r="AR127" s="168"/>
      <c r="AS127" s="168"/>
      <c r="AT127" s="168"/>
      <c r="AU127" s="168"/>
      <c r="AV127" s="168"/>
      <c r="AW127" s="168"/>
      <c r="AX127" s="168"/>
      <c r="AY127" s="168"/>
      <c r="AZ127" s="168"/>
      <c r="BA127" s="168"/>
      <c r="BB127" s="168"/>
      <c r="BC127" s="168"/>
      <c r="BD127" s="168"/>
      <c r="BE127" s="168"/>
      <c r="BF127" s="168"/>
      <c r="BG127" s="168"/>
      <c r="BH127" s="168"/>
      <c r="BI127" s="168"/>
      <c r="BJ127" s="168"/>
      <c r="BK127" s="168"/>
      <c r="BL127" s="168"/>
      <c r="BM127" s="168"/>
      <c r="BN127" s="168"/>
      <c r="BO127" s="168"/>
      <c r="BP127" s="168"/>
      <c r="BQ127" s="168"/>
      <c r="BR127" s="168"/>
    </row>
    <row r="128" spans="1:70" s="152" customFormat="1" ht="15" thickBot="1" x14ac:dyDescent="0.4">
      <c r="A128" s="187" t="s">
        <v>21</v>
      </c>
      <c r="B128" s="218">
        <f>'housing proportion projections'!I47</f>
        <v>405.32801685224194</v>
      </c>
      <c r="C128" s="218">
        <f>'housing proportion projections'!J47</f>
        <v>405.32801685224194</v>
      </c>
      <c r="D128" s="218">
        <f>'housing proportion projections'!K47</f>
        <v>405.32801685224194</v>
      </c>
      <c r="E128" s="218">
        <f>'housing proportion projections'!L47</f>
        <v>405.32801685224194</v>
      </c>
      <c r="F128" s="218">
        <f>'housing proportion projections'!M47</f>
        <v>405.32801685224194</v>
      </c>
      <c r="G128" s="218">
        <f>'housing proportion projections'!N47</f>
        <v>405.32801685224194</v>
      </c>
      <c r="H128" s="218">
        <f>'housing proportion projections'!O47</f>
        <v>405.32801685224194</v>
      </c>
      <c r="I128" s="218">
        <f>'housing proportion projections'!P47</f>
        <v>405.32801685224194</v>
      </c>
      <c r="J128" s="218">
        <f>'housing proportion projections'!Q47</f>
        <v>405.32801685224194</v>
      </c>
      <c r="K128" s="218">
        <f>'housing proportion projections'!R47</f>
        <v>405.32801685224194</v>
      </c>
      <c r="L128" s="218">
        <f>'housing proportion projections'!S47</f>
        <v>405.32801685224194</v>
      </c>
      <c r="M128" s="218">
        <f>'housing proportion projections'!T47</f>
        <v>405.32801685224194</v>
      </c>
      <c r="N128" s="218">
        <f>'housing proportion projections'!U47</f>
        <v>405.32801685224194</v>
      </c>
      <c r="O128" s="200">
        <f t="shared" si="200"/>
        <v>5269.2642190791448</v>
      </c>
      <c r="P128" s="159"/>
      <c r="Q128" s="168"/>
      <c r="R128" s="147"/>
      <c r="S128" s="168"/>
      <c r="T128" s="168"/>
      <c r="U128" s="168"/>
      <c r="V128" s="168"/>
      <c r="W128" s="168"/>
      <c r="X128" s="168"/>
      <c r="Y128" s="168"/>
      <c r="Z128" s="168"/>
      <c r="AA128" s="168"/>
      <c r="AB128" s="168"/>
      <c r="AC128" s="168"/>
      <c r="AD128" s="151"/>
      <c r="AE128" s="168"/>
      <c r="AF128" s="168"/>
      <c r="AG128" s="168"/>
      <c r="AH128" s="151"/>
      <c r="AI128" s="168"/>
      <c r="AJ128" s="168"/>
      <c r="AK128" s="168"/>
      <c r="AL128" s="168"/>
      <c r="AM128" s="168"/>
      <c r="AN128" s="168"/>
      <c r="AO128" s="168"/>
      <c r="AP128" s="168"/>
      <c r="AQ128" s="168"/>
      <c r="AR128" s="168"/>
      <c r="AS128" s="168"/>
      <c r="AT128" s="168"/>
      <c r="AU128" s="168"/>
      <c r="AV128" s="168"/>
      <c r="AW128" s="168"/>
      <c r="AX128" s="168"/>
      <c r="AY128" s="168"/>
      <c r="AZ128" s="168"/>
      <c r="BA128" s="168"/>
      <c r="BB128" s="168"/>
      <c r="BC128" s="168"/>
      <c r="BD128" s="168"/>
      <c r="BE128" s="168"/>
      <c r="BF128" s="168"/>
      <c r="BG128" s="168"/>
      <c r="BH128" s="168"/>
      <c r="BI128" s="168"/>
      <c r="BJ128" s="168"/>
      <c r="BK128" s="168"/>
      <c r="BL128" s="168"/>
      <c r="BM128" s="168"/>
      <c r="BN128" s="168"/>
      <c r="BO128" s="168"/>
      <c r="BP128" s="168"/>
      <c r="BQ128" s="168"/>
      <c r="BR128" s="168"/>
    </row>
    <row r="129" spans="1:70" s="156" customFormat="1" x14ac:dyDescent="0.35">
      <c r="A129" s="187" t="s">
        <v>26</v>
      </c>
      <c r="B129" s="218">
        <f>'housing proportion projections'!I48</f>
        <v>227.76156083859968</v>
      </c>
      <c r="C129" s="218">
        <f>'housing proportion projections'!J48</f>
        <v>227.76156083859968</v>
      </c>
      <c r="D129" s="218">
        <f>'housing proportion projections'!K48</f>
        <v>227.76156083859968</v>
      </c>
      <c r="E129" s="218">
        <f>'housing proportion projections'!L48</f>
        <v>227.76156083859968</v>
      </c>
      <c r="F129" s="218">
        <f>'housing proportion projections'!M48</f>
        <v>227.76156083859968</v>
      </c>
      <c r="G129" s="218">
        <f>'housing proportion projections'!N48</f>
        <v>227.76156083859968</v>
      </c>
      <c r="H129" s="218">
        <f>'housing proportion projections'!O48</f>
        <v>227.76156083859968</v>
      </c>
      <c r="I129" s="218">
        <f>'housing proportion projections'!P48</f>
        <v>227.76156083859968</v>
      </c>
      <c r="J129" s="218">
        <f>'housing proportion projections'!Q48</f>
        <v>227.76156083859968</v>
      </c>
      <c r="K129" s="218">
        <f>'housing proportion projections'!R48</f>
        <v>227.76156083859968</v>
      </c>
      <c r="L129" s="218">
        <f>'housing proportion projections'!S48</f>
        <v>227.76156083859968</v>
      </c>
      <c r="M129" s="218">
        <f>'housing proportion projections'!T48</f>
        <v>227.76156083859968</v>
      </c>
      <c r="N129" s="218">
        <f>'housing proportion projections'!U48</f>
        <v>227.76156083859968</v>
      </c>
      <c r="O129" s="200">
        <f t="shared" si="200"/>
        <v>2960.9002909017954</v>
      </c>
      <c r="P129" s="161"/>
      <c r="Q129" s="168"/>
      <c r="R129" s="147"/>
      <c r="S129" s="168"/>
      <c r="T129" s="168"/>
      <c r="U129" s="168"/>
      <c r="V129" s="168"/>
      <c r="W129" s="168"/>
      <c r="X129" s="168"/>
      <c r="Y129" s="168"/>
      <c r="Z129" s="168"/>
      <c r="AA129" s="168"/>
      <c r="AB129" s="168"/>
      <c r="AC129" s="168"/>
      <c r="AD129" s="151"/>
      <c r="AE129" s="168"/>
      <c r="AF129" s="168"/>
      <c r="AG129" s="168"/>
      <c r="AH129" s="151"/>
      <c r="AI129" s="168"/>
      <c r="AJ129" s="168"/>
      <c r="AK129" s="168"/>
      <c r="AL129" s="168"/>
      <c r="AM129" s="168"/>
      <c r="AN129" s="168"/>
      <c r="AO129" s="168"/>
      <c r="AP129" s="168"/>
      <c r="AQ129" s="168"/>
      <c r="AR129" s="168"/>
      <c r="AS129" s="168"/>
      <c r="AT129" s="168"/>
      <c r="AU129" s="168"/>
      <c r="AV129" s="168"/>
      <c r="AW129" s="168"/>
      <c r="AX129" s="168"/>
      <c r="AY129" s="168"/>
      <c r="AZ129" s="168"/>
      <c r="BA129" s="168"/>
      <c r="BB129" s="168"/>
      <c r="BC129" s="168"/>
      <c r="BD129" s="168"/>
      <c r="BE129" s="168"/>
      <c r="BF129" s="168"/>
      <c r="BG129" s="168"/>
      <c r="BH129" s="168"/>
      <c r="BI129" s="168"/>
      <c r="BJ129" s="168"/>
      <c r="BK129" s="168"/>
      <c r="BL129" s="168"/>
      <c r="BM129" s="168"/>
      <c r="BN129" s="168"/>
      <c r="BO129" s="168"/>
      <c r="BP129" s="168"/>
      <c r="BQ129" s="168"/>
      <c r="BR129" s="168"/>
    </row>
    <row r="130" spans="1:70" s="155" customFormat="1" x14ac:dyDescent="0.35">
      <c r="A130" s="190" t="s">
        <v>22</v>
      </c>
      <c r="B130" s="218">
        <f>'housing proportion projections'!I49</f>
        <v>214.11826662654227</v>
      </c>
      <c r="C130" s="218">
        <f>'housing proportion projections'!J49</f>
        <v>214.11826662654227</v>
      </c>
      <c r="D130" s="218">
        <f>'housing proportion projections'!K49</f>
        <v>214.11826662654227</v>
      </c>
      <c r="E130" s="218">
        <f>'housing proportion projections'!L49</f>
        <v>214.11826662654227</v>
      </c>
      <c r="F130" s="218">
        <f>'housing proportion projections'!M49</f>
        <v>214.11826662654227</v>
      </c>
      <c r="G130" s="218">
        <f>'housing proportion projections'!N49</f>
        <v>214.11826662654227</v>
      </c>
      <c r="H130" s="218">
        <f>'housing proportion projections'!O49</f>
        <v>214.11826662654227</v>
      </c>
      <c r="I130" s="218">
        <f>'housing proportion projections'!P49</f>
        <v>214.11826662654227</v>
      </c>
      <c r="J130" s="218">
        <f>'housing proportion projections'!Q49</f>
        <v>214.11826662654227</v>
      </c>
      <c r="K130" s="218">
        <f>'housing proportion projections'!R49</f>
        <v>214.11826662654227</v>
      </c>
      <c r="L130" s="218">
        <f>'housing proportion projections'!S49</f>
        <v>214.11826662654227</v>
      </c>
      <c r="M130" s="218">
        <f>'housing proportion projections'!T49</f>
        <v>214.11826662654227</v>
      </c>
      <c r="N130" s="218">
        <f>'housing proportion projections'!U49</f>
        <v>214.11826662654227</v>
      </c>
      <c r="O130" s="200">
        <f t="shared" si="200"/>
        <v>2783.5374661450492</v>
      </c>
      <c r="P130" s="162"/>
      <c r="Q130" s="168"/>
      <c r="R130" s="147"/>
      <c r="S130" s="168"/>
      <c r="T130" s="168"/>
      <c r="U130" s="168"/>
      <c r="V130" s="168"/>
      <c r="W130" s="168"/>
      <c r="X130" s="168"/>
      <c r="Y130" s="168"/>
      <c r="Z130" s="168"/>
      <c r="AA130" s="168"/>
      <c r="AB130" s="168"/>
      <c r="AC130" s="168"/>
      <c r="AD130" s="151"/>
      <c r="AE130" s="168"/>
      <c r="AF130" s="168"/>
      <c r="AG130" s="168"/>
      <c r="AH130" s="151"/>
      <c r="AI130" s="168"/>
      <c r="AJ130" s="168"/>
      <c r="AK130" s="168"/>
      <c r="AL130" s="168"/>
      <c r="AM130" s="168"/>
      <c r="AN130" s="168"/>
      <c r="AO130" s="168"/>
      <c r="AP130" s="168"/>
      <c r="AQ130" s="168"/>
      <c r="AR130" s="168"/>
      <c r="AS130" s="168"/>
      <c r="AT130" s="168"/>
      <c r="AU130" s="168"/>
      <c r="AV130" s="168"/>
      <c r="AW130" s="168"/>
      <c r="AX130" s="168"/>
      <c r="AY130" s="168"/>
      <c r="AZ130" s="168"/>
      <c r="BA130" s="168"/>
      <c r="BB130" s="168"/>
      <c r="BC130" s="168"/>
      <c r="BD130" s="168"/>
      <c r="BE130" s="168"/>
      <c r="BF130" s="168"/>
      <c r="BG130" s="168"/>
      <c r="BH130" s="168"/>
      <c r="BI130" s="168"/>
      <c r="BJ130" s="168"/>
      <c r="BK130" s="168"/>
      <c r="BL130" s="168"/>
      <c r="BM130" s="168"/>
      <c r="BN130" s="168"/>
      <c r="BO130" s="168"/>
      <c r="BP130" s="168"/>
      <c r="BQ130" s="168"/>
      <c r="BR130" s="168"/>
    </row>
    <row r="131" spans="1:70" s="155" customFormat="1" ht="15" thickBot="1" x14ac:dyDescent="0.4">
      <c r="A131" s="179"/>
      <c r="B131" s="212"/>
      <c r="C131" s="179"/>
      <c r="D131" s="179"/>
      <c r="E131" s="179"/>
      <c r="F131" s="179"/>
      <c r="G131" s="212"/>
      <c r="H131" s="179"/>
      <c r="I131" s="179"/>
      <c r="J131" s="179"/>
      <c r="K131" s="179"/>
      <c r="L131" s="179"/>
      <c r="M131" s="179"/>
      <c r="N131" s="179"/>
      <c r="O131" s="179"/>
      <c r="P131" s="163"/>
      <c r="Q131" s="168"/>
      <c r="R131" s="147"/>
      <c r="S131" s="168"/>
      <c r="T131" s="168"/>
      <c r="U131" s="168"/>
      <c r="V131" s="168"/>
      <c r="W131" s="168"/>
      <c r="X131" s="168"/>
      <c r="Y131" s="168"/>
      <c r="Z131" s="168"/>
      <c r="AA131" s="168"/>
      <c r="AB131" s="168"/>
      <c r="AC131" s="168"/>
      <c r="AD131" s="151"/>
      <c r="AE131" s="168"/>
      <c r="AF131" s="168"/>
      <c r="AG131" s="168"/>
      <c r="AH131" s="151"/>
      <c r="AI131" s="168"/>
      <c r="AJ131" s="168"/>
      <c r="AK131" s="168"/>
      <c r="AL131" s="168"/>
      <c r="AM131" s="168"/>
      <c r="AN131" s="168"/>
      <c r="AO131" s="168"/>
      <c r="AP131" s="168"/>
      <c r="AQ131" s="168"/>
      <c r="AR131" s="168"/>
      <c r="AS131" s="168"/>
      <c r="AT131" s="168"/>
      <c r="AU131" s="168"/>
      <c r="AV131" s="168"/>
      <c r="AW131" s="168"/>
      <c r="AX131" s="168"/>
      <c r="AY131" s="168"/>
      <c r="AZ131" s="168"/>
      <c r="BA131" s="168"/>
      <c r="BB131" s="168"/>
      <c r="BC131" s="168"/>
      <c r="BD131" s="168"/>
      <c r="BE131" s="168"/>
      <c r="BF131" s="168"/>
      <c r="BG131" s="168"/>
      <c r="BH131" s="168"/>
      <c r="BI131" s="168"/>
      <c r="BJ131" s="168"/>
      <c r="BK131" s="168"/>
      <c r="BL131" s="168"/>
      <c r="BM131" s="168"/>
      <c r="BN131" s="168"/>
      <c r="BO131" s="168"/>
      <c r="BP131" s="168"/>
      <c r="BQ131" s="168"/>
      <c r="BR131" s="168"/>
    </row>
    <row r="132" spans="1:70" s="155" customFormat="1" x14ac:dyDescent="0.35">
      <c r="A132" s="191" t="s">
        <v>134</v>
      </c>
      <c r="B132" s="213"/>
      <c r="C132" s="192"/>
      <c r="D132" s="192"/>
      <c r="E132" s="192"/>
      <c r="F132" s="192"/>
      <c r="G132" s="213"/>
      <c r="H132" s="192"/>
      <c r="I132" s="192"/>
      <c r="J132" s="192"/>
      <c r="K132" s="192"/>
      <c r="L132" s="192"/>
      <c r="M132" s="192"/>
      <c r="N132" s="192"/>
      <c r="O132" s="192"/>
      <c r="P132" s="162"/>
      <c r="Q132" s="168"/>
      <c r="R132" s="147"/>
      <c r="S132" s="168"/>
      <c r="T132" s="168"/>
      <c r="U132" s="168"/>
      <c r="V132" s="168"/>
      <c r="W132" s="168"/>
      <c r="X132" s="168"/>
      <c r="Y132" s="168"/>
      <c r="Z132" s="168"/>
      <c r="AA132" s="168"/>
      <c r="AB132" s="168"/>
      <c r="AC132" s="168"/>
      <c r="AD132" s="151"/>
      <c r="AE132" s="168"/>
      <c r="AF132" s="168"/>
      <c r="AG132" s="168"/>
      <c r="AH132" s="151"/>
      <c r="AI132" s="168"/>
      <c r="AJ132" s="168"/>
      <c r="AK132" s="168"/>
      <c r="AL132" s="168"/>
      <c r="AM132" s="168"/>
      <c r="AN132" s="168"/>
      <c r="AO132" s="168"/>
      <c r="AP132" s="168"/>
      <c r="AQ132" s="168"/>
      <c r="AR132" s="168"/>
      <c r="AS132" s="168"/>
      <c r="AT132" s="168"/>
      <c r="AU132" s="168"/>
      <c r="AV132" s="168"/>
      <c r="AW132" s="168"/>
      <c r="AX132" s="168"/>
      <c r="AY132" s="168"/>
      <c r="AZ132" s="168"/>
      <c r="BA132" s="168"/>
      <c r="BB132" s="168"/>
      <c r="BC132" s="168"/>
      <c r="BD132" s="168"/>
      <c r="BE132" s="168"/>
      <c r="BF132" s="168"/>
      <c r="BG132" s="168"/>
      <c r="BH132" s="168"/>
      <c r="BI132" s="168"/>
      <c r="BJ132" s="168"/>
      <c r="BK132" s="168"/>
      <c r="BL132" s="168"/>
      <c r="BM132" s="168"/>
      <c r="BN132" s="168"/>
      <c r="BO132" s="168"/>
      <c r="BP132" s="168"/>
      <c r="BQ132" s="168"/>
      <c r="BR132" s="168"/>
    </row>
    <row r="133" spans="1:70" s="157" customFormat="1" ht="15" thickBot="1" x14ac:dyDescent="0.4">
      <c r="A133" s="193" t="s">
        <v>112</v>
      </c>
      <c r="B133" s="214">
        <f>30*((B127*$AF$17)+(B128*$AF$18)+(B129*$AF$19)+(B130*$AF$20))+'scenario 1'!B133</f>
        <v>20609336.052229285</v>
      </c>
      <c r="C133" s="214">
        <f>30*((C127*$AF$17)+(C128*$AF$18)+(C129*$AF$19)+(C130*$AF$20))+'scenario 1'!C133</f>
        <v>20609336.052229285</v>
      </c>
      <c r="D133" s="214">
        <f>30*((D127*$AF$17)+(D128*$AF$18)+(D129*$AF$19)+(D130*$AF$20))+'scenario 1'!D133</f>
        <v>20609336.052229285</v>
      </c>
      <c r="E133" s="214">
        <f>30*((E127*$AF$17)+(E128*$AF$18)+(E129*$AF$19)+(E130*$AF$20))+'scenario 1'!E133</f>
        <v>20609336.052229285</v>
      </c>
      <c r="F133" s="214">
        <f>30*((F127*$AF$17)+(F128*$AF$18)+(F129*$AF$19)+(F130*$AF$20))+'scenario 1'!F133</f>
        <v>20609336.052229285</v>
      </c>
      <c r="G133" s="214">
        <f>30*((G127*$AJ$17)+(G128*$AJ$18)+(G129*$AJ$19)+(G130*$AJ$20))+'scenario 1'!G133</f>
        <v>16927590.702773523</v>
      </c>
      <c r="H133" s="214">
        <f>30*((H127*$AJ$17)+(H128*$AJ$18)+(H129*$AJ$19)+(H130*$AJ$20))+'scenario 1'!H133</f>
        <v>16927590.702773523</v>
      </c>
      <c r="I133" s="214">
        <f>30*((I127*$AJ$17)+(I128*$AJ$18)+(I129*$AJ$19)+(I130*$AJ$20))+'scenario 1'!I133</f>
        <v>16927590.702773523</v>
      </c>
      <c r="J133" s="214">
        <f>30*((J127*$AJ$17)+(J128*$AJ$18)+(J129*$AJ$19)+(J130*$AJ$20))+'scenario 1'!J133</f>
        <v>16927590.702773523</v>
      </c>
      <c r="K133" s="214">
        <f>30*((K127*$AJ$17)+(K128*$AJ$18)+(K129*$AJ$19)+(K130*$AJ$20))+'scenario 1'!K133</f>
        <v>16927590.702773523</v>
      </c>
      <c r="L133" s="214">
        <f>30*((L127*$AJ$17)+(L128*$AJ$18)+(L129*$AJ$19)+(L130*$AJ$20))+'scenario 1'!L133</f>
        <v>16927590.702773523</v>
      </c>
      <c r="M133" s="214">
        <f>30*((M127*$AJ$17)+(M128*$AJ$18)+(M129*$AJ$19)+(M130*$AJ$20))+'scenario 1'!M133</f>
        <v>16927590.702773523</v>
      </c>
      <c r="N133" s="214">
        <f>30*((N127*$AJ$17)+(N128*$AJ$18)+(N129*$AJ$19)+(N130*$AJ$20))+'scenario 1'!N133</f>
        <v>16927590.702773523</v>
      </c>
      <c r="O133" s="214">
        <f>SUM(B133:N133)</f>
        <v>238467405.88333455</v>
      </c>
      <c r="P133" s="164"/>
      <c r="Q133" s="168"/>
      <c r="R133" s="147"/>
      <c r="S133" s="168"/>
      <c r="T133" s="168"/>
      <c r="U133" s="168"/>
      <c r="V133" s="168"/>
      <c r="W133" s="168"/>
      <c r="X133" s="168"/>
      <c r="Y133" s="168"/>
      <c r="Z133" s="168"/>
      <c r="AA133" s="168"/>
      <c r="AB133" s="168"/>
      <c r="AC133" s="168"/>
      <c r="AD133" s="151"/>
      <c r="AE133" s="168"/>
      <c r="AF133" s="168"/>
      <c r="AG133" s="168"/>
      <c r="AH133" s="151"/>
      <c r="AI133" s="168"/>
      <c r="AJ133" s="168"/>
      <c r="AK133" s="168"/>
      <c r="AL133" s="168"/>
      <c r="AM133" s="168"/>
      <c r="AN133" s="168"/>
      <c r="AO133" s="168"/>
      <c r="AP133" s="168"/>
      <c r="AQ133" s="168"/>
      <c r="AR133" s="168"/>
      <c r="AS133" s="168"/>
      <c r="AT133" s="168"/>
      <c r="AU133" s="168"/>
      <c r="AV133" s="168"/>
      <c r="AW133" s="168"/>
      <c r="AX133" s="168"/>
      <c r="AY133" s="168"/>
      <c r="AZ133" s="168"/>
      <c r="BA133" s="168"/>
      <c r="BB133" s="168"/>
      <c r="BC133" s="168"/>
      <c r="BD133" s="168"/>
      <c r="BE133" s="168"/>
      <c r="BF133" s="168"/>
      <c r="BG133" s="168"/>
      <c r="BH133" s="168"/>
      <c r="BI133" s="168"/>
      <c r="BJ133" s="168"/>
      <c r="BK133" s="168"/>
      <c r="BL133" s="168"/>
      <c r="BM133" s="168"/>
      <c r="BN133" s="168"/>
      <c r="BO133" s="168"/>
      <c r="BP133" s="168"/>
      <c r="BQ133" s="168"/>
      <c r="BR133" s="168"/>
    </row>
    <row r="134" spans="1:70" s="157" customFormat="1" ht="15" thickBot="1" x14ac:dyDescent="0.4">
      <c r="A134" s="193" t="s">
        <v>113</v>
      </c>
      <c r="B134" s="214">
        <f t="shared" ref="B134" si="201">B133/1000</f>
        <v>20609.336052229286</v>
      </c>
      <c r="C134" s="214">
        <f t="shared" ref="C134" si="202">C133/1000</f>
        <v>20609.336052229286</v>
      </c>
      <c r="D134" s="214">
        <f t="shared" ref="D134" si="203">D133/1000</f>
        <v>20609.336052229286</v>
      </c>
      <c r="E134" s="214">
        <f t="shared" ref="E134" si="204">E133/1000</f>
        <v>20609.336052229286</v>
      </c>
      <c r="F134" s="214">
        <f t="shared" ref="F134" si="205">F133/1000</f>
        <v>20609.336052229286</v>
      </c>
      <c r="G134" s="214">
        <f t="shared" ref="G134" si="206">G133/1000</f>
        <v>16927.590702773523</v>
      </c>
      <c r="H134" s="214">
        <f t="shared" ref="H134" si="207">H133/1000</f>
        <v>16927.590702773523</v>
      </c>
      <c r="I134" s="214">
        <f t="shared" ref="I134" si="208">I133/1000</f>
        <v>16927.590702773523</v>
      </c>
      <c r="J134" s="214">
        <f t="shared" ref="J134" si="209">J133/1000</f>
        <v>16927.590702773523</v>
      </c>
      <c r="K134" s="214">
        <f t="shared" ref="K134" si="210">K133/1000</f>
        <v>16927.590702773523</v>
      </c>
      <c r="L134" s="214">
        <f t="shared" ref="L134" si="211">L133/1000</f>
        <v>16927.590702773523</v>
      </c>
      <c r="M134" s="214">
        <f t="shared" ref="M134" si="212">M133/1000</f>
        <v>16927.590702773523</v>
      </c>
      <c r="N134" s="214">
        <f t="shared" ref="N134" si="213">N133/1000</f>
        <v>16927.590702773523</v>
      </c>
      <c r="O134" s="214">
        <f t="shared" ref="O134" si="214">O133/1000</f>
        <v>238467.40588333455</v>
      </c>
      <c r="P134" s="164"/>
      <c r="Q134" s="168"/>
      <c r="R134" s="147"/>
      <c r="S134" s="168"/>
      <c r="T134" s="168"/>
      <c r="U134" s="168"/>
      <c r="V134" s="168"/>
      <c r="W134" s="168"/>
      <c r="X134" s="168"/>
      <c r="Y134" s="168"/>
      <c r="Z134" s="168"/>
      <c r="AA134" s="168"/>
      <c r="AB134" s="168"/>
      <c r="AC134" s="168"/>
      <c r="AD134" s="151"/>
      <c r="AE134" s="168"/>
      <c r="AF134" s="168"/>
      <c r="AG134" s="168"/>
      <c r="AH134" s="151"/>
      <c r="AI134" s="168"/>
      <c r="AJ134" s="168"/>
      <c r="AK134" s="168"/>
      <c r="AL134" s="168"/>
      <c r="AM134" s="168"/>
      <c r="AN134" s="168"/>
      <c r="AO134" s="168"/>
      <c r="AP134" s="168"/>
      <c r="AQ134" s="168"/>
      <c r="AR134" s="168"/>
      <c r="AS134" s="168"/>
      <c r="AT134" s="168"/>
      <c r="AU134" s="168"/>
      <c r="AV134" s="168"/>
      <c r="AW134" s="168"/>
      <c r="AX134" s="168"/>
      <c r="AY134" s="168"/>
      <c r="AZ134" s="168"/>
      <c r="BA134" s="168"/>
      <c r="BB134" s="168"/>
      <c r="BC134" s="168"/>
      <c r="BD134" s="168"/>
      <c r="BE134" s="168"/>
      <c r="BF134" s="168"/>
      <c r="BG134" s="168"/>
      <c r="BH134" s="168"/>
      <c r="BI134" s="168"/>
      <c r="BJ134" s="168"/>
      <c r="BK134" s="168"/>
      <c r="BL134" s="168"/>
      <c r="BM134" s="168"/>
      <c r="BN134" s="168"/>
      <c r="BO134" s="168"/>
      <c r="BP134" s="168"/>
      <c r="BQ134" s="168"/>
      <c r="BR134" s="168"/>
    </row>
    <row r="135" spans="1:70" s="152" customFormat="1" x14ac:dyDescent="0.35">
      <c r="A135" s="193" t="s">
        <v>64</v>
      </c>
      <c r="B135" s="215">
        <f>B134*$AB$3</f>
        <v>4121867.2104458571</v>
      </c>
      <c r="C135" s="215">
        <f t="shared" ref="C135" si="215">C134*$AB$3</f>
        <v>4121867.2104458571</v>
      </c>
      <c r="D135" s="215">
        <f t="shared" ref="D135" si="216">D134*$AB$3</f>
        <v>4121867.2104458571</v>
      </c>
      <c r="E135" s="215">
        <f t="shared" ref="E135" si="217">E134*$AB$3</f>
        <v>4121867.2104458571</v>
      </c>
      <c r="F135" s="215">
        <f t="shared" ref="F135" si="218">F134*$AB$3</f>
        <v>4121867.2104458571</v>
      </c>
      <c r="G135" s="215">
        <f t="shared" ref="G135" si="219">G134*$AB$3</f>
        <v>3385518.1405547047</v>
      </c>
      <c r="H135" s="215">
        <f t="shared" ref="H135" si="220">H134*$AB$3</f>
        <v>3385518.1405547047</v>
      </c>
      <c r="I135" s="215">
        <f t="shared" ref="I135" si="221">I134*$AB$3</f>
        <v>3385518.1405547047</v>
      </c>
      <c r="J135" s="215">
        <f t="shared" ref="J135" si="222">J134*$AB$3</f>
        <v>3385518.1405547047</v>
      </c>
      <c r="K135" s="215">
        <f t="shared" ref="K135" si="223">K134*$AB$3</f>
        <v>3385518.1405547047</v>
      </c>
      <c r="L135" s="215">
        <f t="shared" ref="L135" si="224">L134*$AB$3</f>
        <v>3385518.1405547047</v>
      </c>
      <c r="M135" s="215">
        <f t="shared" ref="M135" si="225">M134*$AB$3</f>
        <v>3385518.1405547047</v>
      </c>
      <c r="N135" s="215">
        <f t="shared" ref="N135" si="226">N134*$AB$3</f>
        <v>3385518.1405547047</v>
      </c>
      <c r="O135" s="215">
        <f t="shared" ref="O135" si="227">O134*$AB$3</f>
        <v>47693481.176666908</v>
      </c>
      <c r="P135" s="159"/>
      <c r="Q135" s="168"/>
      <c r="R135" s="147"/>
      <c r="S135" s="168"/>
      <c r="T135" s="168"/>
      <c r="U135" s="168"/>
      <c r="V135" s="168"/>
      <c r="W135" s="168"/>
      <c r="X135" s="168"/>
      <c r="Y135" s="168"/>
      <c r="Z135" s="168"/>
      <c r="AA135" s="168"/>
      <c r="AB135" s="168"/>
      <c r="AC135" s="168"/>
      <c r="AD135" s="151"/>
      <c r="AE135" s="168"/>
      <c r="AF135" s="168"/>
      <c r="AG135" s="168"/>
      <c r="AH135" s="151"/>
      <c r="AI135" s="168"/>
      <c r="AJ135" s="168"/>
      <c r="AK135" s="168"/>
      <c r="AL135" s="168"/>
      <c r="AM135" s="168"/>
      <c r="AN135" s="168"/>
      <c r="AO135" s="168"/>
      <c r="AP135" s="168"/>
      <c r="AQ135" s="168"/>
      <c r="AR135" s="168"/>
      <c r="AS135" s="168"/>
      <c r="AT135" s="168"/>
      <c r="AU135" s="168"/>
      <c r="AV135" s="168"/>
      <c r="AW135" s="168"/>
      <c r="AX135" s="168"/>
      <c r="AY135" s="168"/>
      <c r="AZ135" s="168"/>
      <c r="BA135" s="168"/>
      <c r="BB135" s="168"/>
      <c r="BC135" s="168"/>
      <c r="BD135" s="168"/>
      <c r="BE135" s="168"/>
      <c r="BF135" s="168"/>
      <c r="BG135" s="168"/>
      <c r="BH135" s="168"/>
      <c r="BI135" s="168"/>
      <c r="BJ135" s="168"/>
      <c r="BK135" s="168"/>
      <c r="BL135" s="168"/>
      <c r="BM135" s="168"/>
      <c r="BN135" s="168"/>
      <c r="BO135" s="168"/>
      <c r="BP135" s="168"/>
      <c r="BQ135" s="168"/>
      <c r="BR135" s="168"/>
    </row>
    <row r="136" spans="1:70" s="152" customFormat="1" x14ac:dyDescent="0.35">
      <c r="A136" s="193"/>
      <c r="B136" s="214"/>
      <c r="C136" s="194"/>
      <c r="D136" s="194"/>
      <c r="E136" s="194"/>
      <c r="F136" s="194"/>
      <c r="G136" s="214"/>
      <c r="H136" s="194"/>
      <c r="I136" s="194"/>
      <c r="J136" s="194"/>
      <c r="K136" s="194"/>
      <c r="L136" s="194"/>
      <c r="M136" s="194"/>
      <c r="N136" s="194"/>
      <c r="O136" s="194"/>
      <c r="P136" s="159"/>
      <c r="Q136" s="168"/>
      <c r="R136" s="147"/>
      <c r="S136" s="168"/>
      <c r="T136" s="168"/>
      <c r="U136" s="168"/>
      <c r="V136" s="168"/>
      <c r="W136" s="168"/>
      <c r="X136" s="168"/>
      <c r="Y136" s="168"/>
      <c r="Z136" s="168"/>
      <c r="AA136" s="168"/>
      <c r="AB136" s="168"/>
      <c r="AC136" s="168"/>
      <c r="AD136" s="151"/>
      <c r="AE136" s="168"/>
      <c r="AF136" s="168"/>
      <c r="AG136" s="168"/>
      <c r="AH136" s="151"/>
      <c r="AI136" s="168"/>
      <c r="AJ136" s="168"/>
      <c r="AK136" s="168"/>
      <c r="AL136" s="168"/>
      <c r="AM136" s="168"/>
      <c r="AN136" s="168"/>
      <c r="AO136" s="168"/>
      <c r="AP136" s="168"/>
      <c r="AQ136" s="168"/>
      <c r="AR136" s="168"/>
      <c r="AS136" s="168"/>
      <c r="AT136" s="168"/>
      <c r="AU136" s="168"/>
      <c r="AV136" s="168"/>
      <c r="AW136" s="168"/>
      <c r="AX136" s="168"/>
      <c r="AY136" s="168"/>
      <c r="AZ136" s="168"/>
      <c r="BA136" s="168"/>
      <c r="BB136" s="168"/>
      <c r="BC136" s="168"/>
      <c r="BD136" s="168"/>
      <c r="BE136" s="168"/>
      <c r="BF136" s="168"/>
      <c r="BG136" s="168"/>
      <c r="BH136" s="168"/>
      <c r="BI136" s="168"/>
      <c r="BJ136" s="168"/>
      <c r="BK136" s="168"/>
      <c r="BL136" s="168"/>
      <c r="BM136" s="168"/>
      <c r="BN136" s="168"/>
      <c r="BO136" s="168"/>
      <c r="BP136" s="168"/>
      <c r="BQ136" s="168"/>
      <c r="BR136" s="168"/>
    </row>
    <row r="137" spans="1:70" s="152" customFormat="1" ht="15" thickBot="1" x14ac:dyDescent="0.4">
      <c r="A137" s="197"/>
      <c r="B137" s="216"/>
      <c r="C137" s="198"/>
      <c r="D137" s="198"/>
      <c r="E137" s="198"/>
      <c r="F137" s="198"/>
      <c r="G137" s="216"/>
      <c r="H137" s="198"/>
      <c r="I137" s="198"/>
      <c r="J137" s="198"/>
      <c r="K137" s="198"/>
      <c r="L137" s="198"/>
      <c r="M137" s="198"/>
      <c r="N137" s="198"/>
      <c r="O137" s="198"/>
      <c r="P137" s="159"/>
      <c r="Q137" s="168"/>
      <c r="R137" s="147"/>
      <c r="S137" s="168"/>
      <c r="T137" s="168"/>
      <c r="U137" s="168"/>
      <c r="V137" s="168"/>
      <c r="W137" s="168"/>
      <c r="X137" s="168"/>
      <c r="Y137" s="168"/>
      <c r="Z137" s="168"/>
      <c r="AA137" s="168"/>
      <c r="AB137" s="168"/>
      <c r="AC137" s="168"/>
      <c r="AD137" s="151"/>
      <c r="AE137" s="168"/>
      <c r="AF137" s="168"/>
      <c r="AG137" s="168"/>
      <c r="AH137" s="151"/>
      <c r="AI137" s="168"/>
      <c r="AJ137" s="168"/>
      <c r="AK137" s="168"/>
      <c r="AL137" s="168"/>
      <c r="AM137" s="168"/>
      <c r="AN137" s="168"/>
      <c r="AO137" s="168"/>
      <c r="AP137" s="168"/>
      <c r="AQ137" s="168"/>
      <c r="AR137" s="168"/>
      <c r="AS137" s="168"/>
      <c r="AT137" s="168"/>
      <c r="AU137" s="168"/>
      <c r="AV137" s="168"/>
      <c r="AW137" s="168"/>
      <c r="AX137" s="168"/>
      <c r="AY137" s="168"/>
      <c r="AZ137" s="168"/>
      <c r="BA137" s="168"/>
      <c r="BB137" s="168"/>
      <c r="BC137" s="168"/>
      <c r="BD137" s="168"/>
      <c r="BE137" s="168"/>
      <c r="BF137" s="168"/>
      <c r="BG137" s="168"/>
      <c r="BH137" s="168"/>
      <c r="BI137" s="168"/>
      <c r="BJ137" s="168"/>
      <c r="BK137" s="168"/>
      <c r="BL137" s="168"/>
      <c r="BM137" s="168"/>
      <c r="BN137" s="168"/>
      <c r="BO137" s="168"/>
      <c r="BP137" s="168"/>
      <c r="BQ137" s="168"/>
      <c r="BR137" s="168"/>
    </row>
    <row r="138" spans="1:70" s="152" customFormat="1" x14ac:dyDescent="0.35">
      <c r="A138" s="179"/>
      <c r="B138" s="212"/>
      <c r="C138" s="179"/>
      <c r="D138" s="179"/>
      <c r="E138" s="179"/>
      <c r="F138" s="179"/>
      <c r="G138" s="212"/>
      <c r="H138" s="179"/>
      <c r="I138" s="179"/>
      <c r="J138" s="179"/>
      <c r="K138" s="179"/>
      <c r="L138" s="179"/>
      <c r="M138" s="179"/>
      <c r="N138" s="179"/>
      <c r="O138" s="179"/>
      <c r="P138" s="160"/>
      <c r="Q138" s="168"/>
      <c r="R138" s="147"/>
      <c r="S138" s="168"/>
      <c r="T138" s="168"/>
      <c r="U138" s="168"/>
      <c r="V138" s="168"/>
      <c r="W138" s="168"/>
      <c r="X138" s="168"/>
      <c r="Y138" s="168"/>
      <c r="Z138" s="168"/>
      <c r="AA138" s="168"/>
      <c r="AB138" s="168"/>
      <c r="AC138" s="168"/>
      <c r="AD138" s="151"/>
      <c r="AE138" s="168"/>
      <c r="AF138" s="168"/>
      <c r="AG138" s="168"/>
      <c r="AH138" s="151"/>
      <c r="AI138" s="168"/>
      <c r="AJ138" s="168"/>
      <c r="AK138" s="168"/>
      <c r="AL138" s="168"/>
      <c r="AM138" s="168"/>
      <c r="AN138" s="168"/>
      <c r="AO138" s="168"/>
      <c r="AP138" s="168"/>
      <c r="AQ138" s="168"/>
      <c r="AR138" s="168"/>
      <c r="AS138" s="168"/>
      <c r="AT138" s="168"/>
      <c r="AU138" s="168"/>
      <c r="AV138" s="168"/>
      <c r="AW138" s="168"/>
      <c r="AX138" s="168"/>
      <c r="AY138" s="168"/>
      <c r="AZ138" s="168"/>
      <c r="BA138" s="168"/>
      <c r="BB138" s="168"/>
      <c r="BC138" s="168"/>
      <c r="BD138" s="168"/>
      <c r="BE138" s="168"/>
      <c r="BF138" s="168"/>
      <c r="BG138" s="168"/>
      <c r="BH138" s="168"/>
      <c r="BI138" s="168"/>
      <c r="BJ138" s="168"/>
      <c r="BK138" s="168"/>
      <c r="BL138" s="168"/>
      <c r="BM138" s="168"/>
      <c r="BN138" s="168"/>
      <c r="BO138" s="168"/>
      <c r="BP138" s="168"/>
      <c r="BQ138" s="168"/>
      <c r="BR138" s="168"/>
    </row>
    <row r="139" spans="1:70" s="152" customFormat="1" x14ac:dyDescent="0.35">
      <c r="A139" s="179"/>
      <c r="B139" s="212"/>
      <c r="C139" s="179"/>
      <c r="D139" s="179"/>
      <c r="E139" s="179"/>
      <c r="F139" s="179"/>
      <c r="G139" s="212"/>
      <c r="H139" s="179"/>
      <c r="I139" s="179"/>
      <c r="J139" s="179"/>
      <c r="K139" s="179"/>
      <c r="L139" s="179"/>
      <c r="M139" s="179"/>
      <c r="N139" s="179"/>
      <c r="O139" s="179"/>
      <c r="P139" s="159"/>
      <c r="Q139" s="168"/>
      <c r="R139" s="147"/>
      <c r="S139" s="168"/>
      <c r="T139" s="168"/>
      <c r="U139" s="168"/>
      <c r="V139" s="168"/>
      <c r="W139" s="168"/>
      <c r="X139" s="168"/>
      <c r="Y139" s="168"/>
      <c r="Z139" s="168"/>
      <c r="AA139" s="168"/>
      <c r="AB139" s="168"/>
      <c r="AC139" s="168"/>
      <c r="AD139" s="151"/>
      <c r="AE139" s="168"/>
      <c r="AF139" s="168"/>
      <c r="AG139" s="168"/>
      <c r="AH139" s="151"/>
      <c r="AI139" s="168"/>
      <c r="AJ139" s="168"/>
      <c r="AK139" s="168"/>
      <c r="AL139" s="168"/>
      <c r="AM139" s="168"/>
      <c r="AN139" s="168"/>
      <c r="AO139" s="168"/>
      <c r="AP139" s="168"/>
      <c r="AQ139" s="168"/>
      <c r="AR139" s="168"/>
      <c r="AS139" s="168"/>
      <c r="AT139" s="168"/>
      <c r="AU139" s="168"/>
      <c r="AV139" s="168"/>
      <c r="AW139" s="168"/>
      <c r="AX139" s="168"/>
      <c r="AY139" s="168"/>
      <c r="AZ139" s="168"/>
      <c r="BA139" s="168"/>
      <c r="BB139" s="168"/>
      <c r="BC139" s="168"/>
      <c r="BD139" s="168"/>
      <c r="BE139" s="168"/>
      <c r="BF139" s="168"/>
      <c r="BG139" s="168"/>
      <c r="BH139" s="168"/>
      <c r="BI139" s="168"/>
      <c r="BJ139" s="168"/>
      <c r="BK139" s="168"/>
      <c r="BL139" s="168"/>
      <c r="BM139" s="168"/>
      <c r="BN139" s="168"/>
      <c r="BO139" s="168"/>
      <c r="BP139" s="168"/>
      <c r="BQ139" s="168"/>
      <c r="BR139" s="168"/>
    </row>
    <row r="140" spans="1:70" s="152" customFormat="1" x14ac:dyDescent="0.35">
      <c r="A140" s="180" t="s">
        <v>0</v>
      </c>
      <c r="B140" s="209" t="s">
        <v>7</v>
      </c>
      <c r="C140" s="182" t="s">
        <v>8</v>
      </c>
      <c r="D140" s="182" t="s">
        <v>9</v>
      </c>
      <c r="E140" s="182" t="s">
        <v>10</v>
      </c>
      <c r="F140" s="182" t="s">
        <v>11</v>
      </c>
      <c r="G140" s="209" t="s">
        <v>12</v>
      </c>
      <c r="H140" s="182" t="s">
        <v>13</v>
      </c>
      <c r="I140" s="182" t="s">
        <v>14</v>
      </c>
      <c r="J140" s="182" t="s">
        <v>15</v>
      </c>
      <c r="K140" s="182" t="s">
        <v>16</v>
      </c>
      <c r="L140" s="183" t="s">
        <v>17</v>
      </c>
      <c r="M140" s="184" t="s">
        <v>23</v>
      </c>
      <c r="N140" s="184" t="s">
        <v>24</v>
      </c>
      <c r="O140" s="185" t="s">
        <v>18</v>
      </c>
      <c r="P140" s="159"/>
      <c r="Q140" s="168"/>
      <c r="R140" s="147"/>
      <c r="S140" s="168"/>
      <c r="T140" s="168"/>
      <c r="U140" s="168"/>
      <c r="V140" s="168"/>
      <c r="W140" s="168"/>
      <c r="X140" s="168"/>
      <c r="Y140" s="168"/>
      <c r="Z140" s="168"/>
      <c r="AA140" s="168"/>
      <c r="AB140" s="168"/>
      <c r="AC140" s="168"/>
      <c r="AD140" s="151"/>
      <c r="AE140" s="168"/>
      <c r="AF140" s="168"/>
      <c r="AG140" s="168"/>
      <c r="AH140" s="151"/>
      <c r="AI140" s="168"/>
      <c r="AJ140" s="168"/>
      <c r="AK140" s="168"/>
      <c r="AL140" s="168"/>
      <c r="AM140" s="168"/>
      <c r="AN140" s="168"/>
      <c r="AO140" s="168"/>
      <c r="AP140" s="168"/>
      <c r="AQ140" s="168"/>
      <c r="AR140" s="168"/>
      <c r="AS140" s="168"/>
      <c r="AT140" s="168"/>
      <c r="AU140" s="168"/>
      <c r="AV140" s="168"/>
      <c r="AW140" s="168"/>
      <c r="AX140" s="168"/>
      <c r="AY140" s="168"/>
      <c r="AZ140" s="168"/>
      <c r="BA140" s="168"/>
      <c r="BB140" s="168"/>
      <c r="BC140" s="168"/>
      <c r="BD140" s="168"/>
      <c r="BE140" s="168"/>
      <c r="BF140" s="168"/>
      <c r="BG140" s="168"/>
      <c r="BH140" s="168"/>
      <c r="BI140" s="168"/>
      <c r="BJ140" s="168"/>
      <c r="BK140" s="168"/>
      <c r="BL140" s="168"/>
      <c r="BM140" s="168"/>
      <c r="BN140" s="168"/>
      <c r="BO140" s="168"/>
      <c r="BP140" s="168"/>
      <c r="BQ140" s="168"/>
      <c r="BR140" s="168"/>
    </row>
    <row r="141" spans="1:70" s="152" customFormat="1" x14ac:dyDescent="0.35">
      <c r="A141" s="154" t="s">
        <v>35</v>
      </c>
      <c r="B141" s="217">
        <v>1126</v>
      </c>
      <c r="C141" s="199">
        <v>1126</v>
      </c>
      <c r="D141" s="199">
        <v>1126</v>
      </c>
      <c r="E141" s="199">
        <v>1126</v>
      </c>
      <c r="F141" s="199">
        <v>1126</v>
      </c>
      <c r="G141" s="217">
        <v>1126</v>
      </c>
      <c r="H141" s="199">
        <v>1126</v>
      </c>
      <c r="I141" s="199">
        <v>1126</v>
      </c>
      <c r="J141" s="199">
        <v>1126</v>
      </c>
      <c r="K141" s="199">
        <v>1126</v>
      </c>
      <c r="L141" s="199">
        <v>1126</v>
      </c>
      <c r="M141" s="199">
        <v>1126</v>
      </c>
      <c r="N141" s="199">
        <v>1126</v>
      </c>
      <c r="O141" s="200">
        <f>SUM(B141:N141)</f>
        <v>14638</v>
      </c>
      <c r="P141" s="159"/>
      <c r="Q141" s="168"/>
      <c r="R141" s="147"/>
      <c r="S141" s="168"/>
      <c r="T141" s="168"/>
      <c r="U141" s="168"/>
      <c r="V141" s="168"/>
      <c r="W141" s="168"/>
      <c r="X141" s="168"/>
      <c r="Y141" s="168"/>
      <c r="Z141" s="168"/>
      <c r="AA141" s="168"/>
      <c r="AB141" s="168"/>
      <c r="AC141" s="168"/>
      <c r="AD141" s="151"/>
      <c r="AE141" s="168"/>
      <c r="AF141" s="168"/>
      <c r="AG141" s="168"/>
      <c r="AH141" s="151"/>
      <c r="AI141" s="168"/>
      <c r="AJ141" s="168"/>
      <c r="AK141" s="168"/>
      <c r="AL141" s="168"/>
      <c r="AM141" s="168"/>
      <c r="AN141" s="168"/>
      <c r="AO141" s="168"/>
      <c r="AP141" s="168"/>
      <c r="AQ141" s="168"/>
      <c r="AR141" s="168"/>
      <c r="AS141" s="168"/>
      <c r="AT141" s="168"/>
      <c r="AU141" s="168"/>
      <c r="AV141" s="168"/>
      <c r="AW141" s="168"/>
      <c r="AX141" s="168"/>
      <c r="AY141" s="168"/>
      <c r="AZ141" s="168"/>
      <c r="BA141" s="168"/>
      <c r="BB141" s="168"/>
      <c r="BC141" s="168"/>
      <c r="BD141" s="168"/>
      <c r="BE141" s="168"/>
      <c r="BF141" s="168"/>
      <c r="BG141" s="168"/>
      <c r="BH141" s="168"/>
      <c r="BI141" s="168"/>
      <c r="BJ141" s="168"/>
      <c r="BK141" s="168"/>
      <c r="BL141" s="168"/>
      <c r="BM141" s="168"/>
      <c r="BN141" s="168"/>
      <c r="BO141" s="168"/>
      <c r="BP141" s="168"/>
      <c r="BQ141" s="168"/>
      <c r="BR141" s="168"/>
    </row>
    <row r="142" spans="1:70" s="158" customFormat="1" x14ac:dyDescent="0.35">
      <c r="A142" s="187" t="s">
        <v>20</v>
      </c>
      <c r="B142" s="218">
        <f>'housing proportion projections'!I51</f>
        <v>287.76509741385291</v>
      </c>
      <c r="C142" s="218">
        <f>'housing proportion projections'!J51</f>
        <v>287.76509741385291</v>
      </c>
      <c r="D142" s="218">
        <f>'housing proportion projections'!K51</f>
        <v>287.76509741385291</v>
      </c>
      <c r="E142" s="218">
        <f>'housing proportion projections'!L51</f>
        <v>287.76509741385291</v>
      </c>
      <c r="F142" s="218">
        <f>'housing proportion projections'!M51</f>
        <v>287.76509741385291</v>
      </c>
      <c r="G142" s="218">
        <f>'housing proportion projections'!N51</f>
        <v>287.76509741385291</v>
      </c>
      <c r="H142" s="218">
        <f>'housing proportion projections'!O51</f>
        <v>287.76509741385291</v>
      </c>
      <c r="I142" s="218">
        <f>'housing proportion projections'!P51</f>
        <v>287.76509741385291</v>
      </c>
      <c r="J142" s="218">
        <f>'housing proportion projections'!Q51</f>
        <v>287.76509741385291</v>
      </c>
      <c r="K142" s="218">
        <f>'housing proportion projections'!R51</f>
        <v>287.76509741385291</v>
      </c>
      <c r="L142" s="218">
        <f>'housing proportion projections'!S51</f>
        <v>287.76509741385291</v>
      </c>
      <c r="M142" s="218">
        <f>'housing proportion projections'!T51</f>
        <v>287.76509741385291</v>
      </c>
      <c r="N142" s="218">
        <f>'housing proportion projections'!U51</f>
        <v>287.76509741385291</v>
      </c>
      <c r="O142" s="200">
        <f t="shared" ref="O142:O145" si="228">SUM(B142:N142)</f>
        <v>3740.9462663800869</v>
      </c>
      <c r="P142" s="167"/>
      <c r="Q142" s="168"/>
      <c r="R142" s="147"/>
      <c r="S142" s="168"/>
      <c r="T142" s="168"/>
      <c r="U142" s="168"/>
      <c r="V142" s="168"/>
      <c r="W142" s="168"/>
      <c r="X142" s="168"/>
      <c r="Y142" s="168"/>
      <c r="Z142" s="168"/>
      <c r="AA142" s="168"/>
      <c r="AB142" s="168"/>
      <c r="AC142" s="168"/>
      <c r="AD142" s="151"/>
      <c r="AE142" s="168"/>
      <c r="AF142" s="168"/>
      <c r="AG142" s="168"/>
      <c r="AH142" s="151"/>
      <c r="AI142" s="168"/>
      <c r="AJ142" s="168"/>
      <c r="AK142" s="168"/>
      <c r="AL142" s="168"/>
      <c r="AM142" s="168"/>
      <c r="AN142" s="168"/>
      <c r="AO142" s="168"/>
      <c r="AP142" s="168"/>
      <c r="AQ142" s="168"/>
      <c r="AR142" s="168"/>
      <c r="AS142" s="168"/>
      <c r="AT142" s="168"/>
      <c r="AU142" s="168"/>
      <c r="AV142" s="168"/>
      <c r="AW142" s="168"/>
      <c r="AX142" s="168"/>
      <c r="AY142" s="168"/>
      <c r="AZ142" s="168"/>
      <c r="BA142" s="168"/>
      <c r="BB142" s="168"/>
      <c r="BC142" s="168"/>
      <c r="BD142" s="168"/>
      <c r="BE142" s="168"/>
      <c r="BF142" s="168"/>
      <c r="BG142" s="168"/>
      <c r="BH142" s="168"/>
      <c r="BI142" s="168"/>
      <c r="BJ142" s="168"/>
      <c r="BK142" s="168"/>
      <c r="BL142" s="168"/>
      <c r="BM142" s="168"/>
      <c r="BN142" s="168"/>
      <c r="BO142" s="168"/>
      <c r="BP142" s="168"/>
      <c r="BQ142" s="168"/>
      <c r="BR142" s="168"/>
    </row>
    <row r="143" spans="1:70" s="152" customFormat="1" ht="15" thickBot="1" x14ac:dyDescent="0.4">
      <c r="A143" s="187" t="s">
        <v>21</v>
      </c>
      <c r="B143" s="218">
        <f>'housing proportion projections'!I52</f>
        <v>403.93288497538651</v>
      </c>
      <c r="C143" s="218">
        <f>'housing proportion projections'!J52</f>
        <v>403.93288497538651</v>
      </c>
      <c r="D143" s="218">
        <f>'housing proportion projections'!K52</f>
        <v>403.93288497538651</v>
      </c>
      <c r="E143" s="218">
        <f>'housing proportion projections'!L52</f>
        <v>403.93288497538651</v>
      </c>
      <c r="F143" s="218">
        <f>'housing proportion projections'!M52</f>
        <v>403.93288497538651</v>
      </c>
      <c r="G143" s="218">
        <f>'housing proportion projections'!N52</f>
        <v>403.93288497538651</v>
      </c>
      <c r="H143" s="218">
        <f>'housing proportion projections'!O52</f>
        <v>403.93288497538651</v>
      </c>
      <c r="I143" s="218">
        <f>'housing proportion projections'!P52</f>
        <v>403.93288497538651</v>
      </c>
      <c r="J143" s="218">
        <f>'housing proportion projections'!Q52</f>
        <v>403.93288497538651</v>
      </c>
      <c r="K143" s="218">
        <f>'housing proportion projections'!R52</f>
        <v>403.93288497538651</v>
      </c>
      <c r="L143" s="218">
        <f>'housing proportion projections'!S52</f>
        <v>403.93288497538651</v>
      </c>
      <c r="M143" s="218">
        <f>'housing proportion projections'!T52</f>
        <v>403.93288497538651</v>
      </c>
      <c r="N143" s="218">
        <f>'housing proportion projections'!U52</f>
        <v>403.93288497538651</v>
      </c>
      <c r="O143" s="200">
        <f t="shared" si="228"/>
        <v>5251.1275046800247</v>
      </c>
      <c r="P143" s="159"/>
      <c r="Q143" s="168"/>
      <c r="R143" s="147"/>
      <c r="S143" s="168"/>
      <c r="T143" s="168"/>
      <c r="U143" s="168"/>
      <c r="V143" s="168"/>
      <c r="W143" s="168"/>
      <c r="X143" s="168"/>
      <c r="Y143" s="168"/>
      <c r="Z143" s="168"/>
      <c r="AA143" s="168"/>
      <c r="AB143" s="168"/>
      <c r="AC143" s="168"/>
      <c r="AD143" s="151"/>
      <c r="AE143" s="168"/>
      <c r="AF143" s="168"/>
      <c r="AG143" s="168"/>
      <c r="AH143" s="151"/>
      <c r="AI143" s="168"/>
      <c r="AJ143" s="168"/>
      <c r="AK143" s="168"/>
      <c r="AL143" s="168"/>
      <c r="AM143" s="168"/>
      <c r="AN143" s="168"/>
      <c r="AO143" s="168"/>
      <c r="AP143" s="168"/>
      <c r="AQ143" s="168"/>
      <c r="AR143" s="168"/>
      <c r="AS143" s="168"/>
      <c r="AT143" s="168"/>
      <c r="AU143" s="168"/>
      <c r="AV143" s="168"/>
      <c r="AW143" s="168"/>
      <c r="AX143" s="168"/>
      <c r="AY143" s="168"/>
      <c r="AZ143" s="168"/>
      <c r="BA143" s="168"/>
      <c r="BB143" s="168"/>
      <c r="BC143" s="168"/>
      <c r="BD143" s="168"/>
      <c r="BE143" s="168"/>
      <c r="BF143" s="168"/>
      <c r="BG143" s="168"/>
      <c r="BH143" s="168"/>
      <c r="BI143" s="168"/>
      <c r="BJ143" s="168"/>
      <c r="BK143" s="168"/>
      <c r="BL143" s="168"/>
      <c r="BM143" s="168"/>
      <c r="BN143" s="168"/>
      <c r="BO143" s="168"/>
      <c r="BP143" s="168"/>
      <c r="BQ143" s="168"/>
      <c r="BR143" s="168"/>
    </row>
    <row r="144" spans="1:70" s="156" customFormat="1" x14ac:dyDescent="0.35">
      <c r="A144" s="187" t="s">
        <v>26</v>
      </c>
      <c r="B144" s="218">
        <f>'housing proportion projections'!I53</f>
        <v>325.62892602093882</v>
      </c>
      <c r="C144" s="218">
        <f>'housing proportion projections'!J53</f>
        <v>325.62892602093882</v>
      </c>
      <c r="D144" s="218">
        <f>'housing proportion projections'!K53</f>
        <v>325.62892602093882</v>
      </c>
      <c r="E144" s="218">
        <f>'housing proportion projections'!L53</f>
        <v>325.62892602093882</v>
      </c>
      <c r="F144" s="218">
        <f>'housing proportion projections'!M53</f>
        <v>325.62892602093882</v>
      </c>
      <c r="G144" s="218">
        <f>'housing proportion projections'!N53</f>
        <v>325.62892602093882</v>
      </c>
      <c r="H144" s="218">
        <f>'housing proportion projections'!O53</f>
        <v>325.62892602093882</v>
      </c>
      <c r="I144" s="218">
        <f>'housing proportion projections'!P53</f>
        <v>325.62892602093882</v>
      </c>
      <c r="J144" s="218">
        <f>'housing proportion projections'!Q53</f>
        <v>325.62892602093882</v>
      </c>
      <c r="K144" s="218">
        <f>'housing proportion projections'!R53</f>
        <v>325.62892602093882</v>
      </c>
      <c r="L144" s="218">
        <f>'housing proportion projections'!S53</f>
        <v>325.62892602093882</v>
      </c>
      <c r="M144" s="218">
        <f>'housing proportion projections'!T53</f>
        <v>325.62892602093882</v>
      </c>
      <c r="N144" s="218">
        <f>'housing proportion projections'!U53</f>
        <v>325.62892602093882</v>
      </c>
      <c r="O144" s="200">
        <f t="shared" si="228"/>
        <v>4233.1760382722041</v>
      </c>
      <c r="P144" s="161"/>
      <c r="Q144" s="168"/>
      <c r="R144" s="147"/>
      <c r="S144" s="168"/>
      <c r="T144" s="168"/>
      <c r="U144" s="168"/>
      <c r="V144" s="168"/>
      <c r="W144" s="168"/>
      <c r="X144" s="168"/>
      <c r="Y144" s="168"/>
      <c r="Z144" s="168"/>
      <c r="AA144" s="168"/>
      <c r="AB144" s="168"/>
      <c r="AC144" s="168"/>
      <c r="AD144" s="151"/>
      <c r="AE144" s="168"/>
      <c r="AF144" s="168"/>
      <c r="AG144" s="168"/>
      <c r="AH144" s="151"/>
      <c r="AI144" s="168"/>
      <c r="AJ144" s="168"/>
      <c r="AK144" s="168"/>
      <c r="AL144" s="168"/>
      <c r="AM144" s="168"/>
      <c r="AN144" s="168"/>
      <c r="AO144" s="168"/>
      <c r="AP144" s="168"/>
      <c r="AQ144" s="168"/>
      <c r="AR144" s="168"/>
      <c r="AS144" s="168"/>
      <c r="AT144" s="168"/>
      <c r="AU144" s="168"/>
      <c r="AV144" s="168"/>
      <c r="AW144" s="168"/>
      <c r="AX144" s="168"/>
      <c r="AY144" s="168"/>
      <c r="AZ144" s="168"/>
      <c r="BA144" s="168"/>
      <c r="BB144" s="168"/>
      <c r="BC144" s="168"/>
      <c r="BD144" s="168"/>
      <c r="BE144" s="168"/>
      <c r="BF144" s="168"/>
      <c r="BG144" s="168"/>
      <c r="BH144" s="168"/>
      <c r="BI144" s="168"/>
      <c r="BJ144" s="168"/>
      <c r="BK144" s="168"/>
      <c r="BL144" s="168"/>
      <c r="BM144" s="168"/>
      <c r="BN144" s="168"/>
      <c r="BO144" s="168"/>
      <c r="BP144" s="168"/>
      <c r="BQ144" s="168"/>
      <c r="BR144" s="168"/>
    </row>
    <row r="145" spans="1:70" s="155" customFormat="1" x14ac:dyDescent="0.35">
      <c r="A145" s="190" t="s">
        <v>22</v>
      </c>
      <c r="B145" s="218">
        <f>'housing proportion projections'!I54</f>
        <v>108.67309158982181</v>
      </c>
      <c r="C145" s="218">
        <f>'housing proportion projections'!J54</f>
        <v>108.67309158982181</v>
      </c>
      <c r="D145" s="218">
        <f>'housing proportion projections'!K54</f>
        <v>108.67309158982181</v>
      </c>
      <c r="E145" s="218">
        <f>'housing proportion projections'!L54</f>
        <v>108.67309158982181</v>
      </c>
      <c r="F145" s="218">
        <f>'housing proportion projections'!M54</f>
        <v>108.67309158982181</v>
      </c>
      <c r="G145" s="218">
        <f>'housing proportion projections'!N54</f>
        <v>108.67309158982181</v>
      </c>
      <c r="H145" s="218">
        <f>'housing proportion projections'!O54</f>
        <v>108.67309158982181</v>
      </c>
      <c r="I145" s="218">
        <f>'housing proportion projections'!P54</f>
        <v>108.67309158982181</v>
      </c>
      <c r="J145" s="218">
        <f>'housing proportion projections'!Q54</f>
        <v>108.67309158982181</v>
      </c>
      <c r="K145" s="218">
        <f>'housing proportion projections'!R54</f>
        <v>108.67309158982181</v>
      </c>
      <c r="L145" s="218">
        <f>'housing proportion projections'!S54</f>
        <v>108.67309158982181</v>
      </c>
      <c r="M145" s="218">
        <f>'housing proportion projections'!T54</f>
        <v>108.67309158982181</v>
      </c>
      <c r="N145" s="218">
        <f>'housing proportion projections'!U54</f>
        <v>108.67309158982181</v>
      </c>
      <c r="O145" s="200">
        <f t="shared" si="228"/>
        <v>1412.750190667683</v>
      </c>
      <c r="P145" s="162"/>
      <c r="Q145" s="168"/>
      <c r="R145" s="147"/>
      <c r="S145" s="168"/>
      <c r="T145" s="168"/>
      <c r="U145" s="168"/>
      <c r="V145" s="168"/>
      <c r="W145" s="168"/>
      <c r="X145" s="168"/>
      <c r="Y145" s="168"/>
      <c r="Z145" s="168"/>
      <c r="AA145" s="168"/>
      <c r="AB145" s="168"/>
      <c r="AC145" s="168"/>
      <c r="AD145" s="151"/>
      <c r="AE145" s="168"/>
      <c r="AF145" s="168"/>
      <c r="AG145" s="168"/>
      <c r="AH145" s="151"/>
      <c r="AI145" s="168"/>
      <c r="AJ145" s="168"/>
      <c r="AK145" s="168"/>
      <c r="AL145" s="168"/>
      <c r="AM145" s="168"/>
      <c r="AN145" s="168"/>
      <c r="AO145" s="168"/>
      <c r="AP145" s="168"/>
      <c r="AQ145" s="168"/>
      <c r="AR145" s="168"/>
      <c r="AS145" s="168"/>
      <c r="AT145" s="168"/>
      <c r="AU145" s="168"/>
      <c r="AV145" s="168"/>
      <c r="AW145" s="168"/>
      <c r="AX145" s="168"/>
      <c r="AY145" s="168"/>
      <c r="AZ145" s="168"/>
      <c r="BA145" s="168"/>
      <c r="BB145" s="168"/>
      <c r="BC145" s="168"/>
      <c r="BD145" s="168"/>
      <c r="BE145" s="168"/>
      <c r="BF145" s="168"/>
      <c r="BG145" s="168"/>
      <c r="BH145" s="168"/>
      <c r="BI145" s="168"/>
      <c r="BJ145" s="168"/>
      <c r="BK145" s="168"/>
      <c r="BL145" s="168"/>
      <c r="BM145" s="168"/>
      <c r="BN145" s="168"/>
      <c r="BO145" s="168"/>
      <c r="BP145" s="168"/>
      <c r="BQ145" s="168"/>
      <c r="BR145" s="168"/>
    </row>
    <row r="146" spans="1:70" s="155" customFormat="1" ht="15" thickBot="1" x14ac:dyDescent="0.4">
      <c r="A146" s="179"/>
      <c r="B146" s="212"/>
      <c r="C146" s="179"/>
      <c r="D146" s="179"/>
      <c r="E146" s="179"/>
      <c r="F146" s="179"/>
      <c r="G146" s="212"/>
      <c r="H146" s="179"/>
      <c r="I146" s="179"/>
      <c r="J146" s="179"/>
      <c r="K146" s="179"/>
      <c r="L146" s="179"/>
      <c r="M146" s="179"/>
      <c r="N146" s="179"/>
      <c r="O146" s="179"/>
      <c r="P146" s="163"/>
      <c r="Q146" s="168"/>
      <c r="R146" s="147"/>
      <c r="S146" s="168"/>
      <c r="T146" s="168"/>
      <c r="U146" s="168"/>
      <c r="V146" s="168"/>
      <c r="W146" s="168"/>
      <c r="X146" s="168"/>
      <c r="Y146" s="168"/>
      <c r="Z146" s="168"/>
      <c r="AA146" s="168"/>
      <c r="AB146" s="168"/>
      <c r="AC146" s="168"/>
      <c r="AD146" s="151"/>
      <c r="AE146" s="168"/>
      <c r="AF146" s="168"/>
      <c r="AG146" s="168"/>
      <c r="AH146" s="151"/>
      <c r="AI146" s="168"/>
      <c r="AJ146" s="168"/>
      <c r="AK146" s="168"/>
      <c r="AL146" s="168"/>
      <c r="AM146" s="168"/>
      <c r="AN146" s="168"/>
      <c r="AO146" s="168"/>
      <c r="AP146" s="168"/>
      <c r="AQ146" s="168"/>
      <c r="AR146" s="168"/>
      <c r="AS146" s="168"/>
      <c r="AT146" s="168"/>
      <c r="AU146" s="168"/>
      <c r="AV146" s="168"/>
      <c r="AW146" s="168"/>
      <c r="AX146" s="168"/>
      <c r="AY146" s="168"/>
      <c r="AZ146" s="168"/>
      <c r="BA146" s="168"/>
      <c r="BB146" s="168"/>
      <c r="BC146" s="168"/>
      <c r="BD146" s="168"/>
      <c r="BE146" s="168"/>
      <c r="BF146" s="168"/>
      <c r="BG146" s="168"/>
      <c r="BH146" s="168"/>
      <c r="BI146" s="168"/>
      <c r="BJ146" s="168"/>
      <c r="BK146" s="168"/>
      <c r="BL146" s="168"/>
      <c r="BM146" s="168"/>
      <c r="BN146" s="168"/>
      <c r="BO146" s="168"/>
      <c r="BP146" s="168"/>
      <c r="BQ146" s="168"/>
      <c r="BR146" s="168"/>
    </row>
    <row r="147" spans="1:70" s="155" customFormat="1" x14ac:dyDescent="0.35">
      <c r="A147" s="191" t="s">
        <v>134</v>
      </c>
      <c r="B147" s="213"/>
      <c r="C147" s="192"/>
      <c r="D147" s="192"/>
      <c r="E147" s="192"/>
      <c r="F147" s="192"/>
      <c r="G147" s="213"/>
      <c r="H147" s="192"/>
      <c r="I147" s="192"/>
      <c r="J147" s="192"/>
      <c r="K147" s="192"/>
      <c r="L147" s="192"/>
      <c r="M147" s="192"/>
      <c r="N147" s="192"/>
      <c r="O147" s="192"/>
      <c r="P147" s="162"/>
      <c r="Q147" s="168"/>
      <c r="R147" s="147"/>
      <c r="S147" s="168"/>
      <c r="T147" s="168"/>
      <c r="U147" s="168"/>
      <c r="V147" s="168"/>
      <c r="W147" s="168"/>
      <c r="X147" s="168"/>
      <c r="Y147" s="168"/>
      <c r="Z147" s="168"/>
      <c r="AA147" s="168"/>
      <c r="AB147" s="168"/>
      <c r="AC147" s="168"/>
      <c r="AD147" s="151"/>
      <c r="AE147" s="168"/>
      <c r="AF147" s="168"/>
      <c r="AG147" s="168"/>
      <c r="AH147" s="151"/>
      <c r="AI147" s="168"/>
      <c r="AJ147" s="168"/>
      <c r="AK147" s="168"/>
      <c r="AL147" s="168"/>
      <c r="AM147" s="168"/>
      <c r="AN147" s="168"/>
      <c r="AO147" s="168"/>
      <c r="AP147" s="168"/>
      <c r="AQ147" s="168"/>
      <c r="AR147" s="168"/>
      <c r="AS147" s="168"/>
      <c r="AT147" s="168"/>
      <c r="AU147" s="168"/>
      <c r="AV147" s="168"/>
      <c r="AW147" s="168"/>
      <c r="AX147" s="168"/>
      <c r="AY147" s="168"/>
      <c r="AZ147" s="168"/>
      <c r="BA147" s="168"/>
      <c r="BB147" s="168"/>
      <c r="BC147" s="168"/>
      <c r="BD147" s="168"/>
      <c r="BE147" s="168"/>
      <c r="BF147" s="168"/>
      <c r="BG147" s="168"/>
      <c r="BH147" s="168"/>
      <c r="BI147" s="168"/>
      <c r="BJ147" s="168"/>
      <c r="BK147" s="168"/>
      <c r="BL147" s="168"/>
      <c r="BM147" s="168"/>
      <c r="BN147" s="168"/>
      <c r="BO147" s="168"/>
      <c r="BP147" s="168"/>
      <c r="BQ147" s="168"/>
      <c r="BR147" s="168"/>
    </row>
    <row r="148" spans="1:70" s="157" customFormat="1" ht="15" thickBot="1" x14ac:dyDescent="0.4">
      <c r="A148" s="193" t="s">
        <v>112</v>
      </c>
      <c r="B148" s="214">
        <f>30*((B142*$AF$17)+(B143*$AF$18)+(B144*$AF$19)+(B145*$AF$20))+'scenario 1'!B148</f>
        <v>24159925.419431277</v>
      </c>
      <c r="C148" s="214">
        <f>30*((C142*$AF$17)+(C143*$AF$18)+(C144*$AF$19)+(C145*$AF$20))+'scenario 1'!C148</f>
        <v>24159925.419431277</v>
      </c>
      <c r="D148" s="214">
        <f>30*((D142*$AF$17)+(D143*$AF$18)+(D144*$AF$19)+(D145*$AF$20))+'scenario 1'!D148</f>
        <v>24159925.419431277</v>
      </c>
      <c r="E148" s="214">
        <f>30*((E142*$AF$17)+(E143*$AF$18)+(E144*$AF$19)+(E145*$AF$20))+'scenario 1'!E148</f>
        <v>24159925.419431277</v>
      </c>
      <c r="F148" s="214">
        <f>30*((F142*$AF$17)+(F143*$AF$18)+(F144*$AF$19)+(F145*$AF$20))+'scenario 1'!F148</f>
        <v>24159925.419431277</v>
      </c>
      <c r="G148" s="214">
        <f>30*((G142*$AJ$17)+(G143*$AJ$18)+(G144*$AJ$19)+(G145*$AJ$20))+'scenario 1'!G148</f>
        <v>19893310.787202369</v>
      </c>
      <c r="H148" s="214">
        <f>30*((H142*$AJ$17)+(H143*$AJ$18)+(H144*$AJ$19)+(H145*$AJ$20))+'scenario 1'!H148</f>
        <v>19893310.787202369</v>
      </c>
      <c r="I148" s="214">
        <f>30*((I142*$AJ$17)+(I143*$AJ$18)+(I144*$AJ$19)+(I145*$AJ$20))+'scenario 1'!I148</f>
        <v>19893310.787202369</v>
      </c>
      <c r="J148" s="214">
        <f>30*((J142*$AJ$17)+(J143*$AJ$18)+(J144*$AJ$19)+(J145*$AJ$20))+'scenario 1'!J148</f>
        <v>19893310.787202369</v>
      </c>
      <c r="K148" s="214">
        <f>30*((K142*$AJ$17)+(K143*$AJ$18)+(K144*$AJ$19)+(K145*$AJ$20))+'scenario 1'!K148</f>
        <v>19893310.787202369</v>
      </c>
      <c r="L148" s="214">
        <f>30*((L142*$AJ$17)+(L143*$AJ$18)+(L144*$AJ$19)+(L145*$AJ$20))+'scenario 1'!L148</f>
        <v>19893310.787202369</v>
      </c>
      <c r="M148" s="214">
        <f>30*((M142*$AJ$17)+(M143*$AJ$18)+(M144*$AJ$19)+(M145*$AJ$20))+'scenario 1'!M148</f>
        <v>19893310.787202369</v>
      </c>
      <c r="N148" s="214">
        <f>30*((N142*$AJ$17)+(N143*$AJ$18)+(N144*$AJ$19)+(N145*$AJ$20))+'scenario 1'!N148</f>
        <v>19893310.787202369</v>
      </c>
      <c r="O148" s="214">
        <f>SUM(B148:N148)</f>
        <v>279946113.39477527</v>
      </c>
      <c r="P148" s="164"/>
      <c r="Q148" s="168"/>
      <c r="R148" s="147"/>
      <c r="S148" s="168"/>
      <c r="T148" s="168"/>
      <c r="U148" s="168"/>
      <c r="V148" s="168"/>
      <c r="W148" s="168"/>
      <c r="X148" s="168"/>
      <c r="Y148" s="168"/>
      <c r="Z148" s="168"/>
      <c r="AA148" s="168"/>
      <c r="AB148" s="168"/>
      <c r="AC148" s="168"/>
      <c r="AD148" s="151"/>
      <c r="AE148" s="168"/>
      <c r="AF148" s="168"/>
      <c r="AG148" s="168"/>
      <c r="AH148" s="151"/>
      <c r="AI148" s="168"/>
      <c r="AJ148" s="168"/>
      <c r="AK148" s="168"/>
      <c r="AL148" s="168"/>
      <c r="AM148" s="168"/>
      <c r="AN148" s="168"/>
      <c r="AO148" s="168"/>
      <c r="AP148" s="168"/>
      <c r="AQ148" s="168"/>
      <c r="AR148" s="168"/>
      <c r="AS148" s="168"/>
      <c r="AT148" s="168"/>
      <c r="AU148" s="168"/>
      <c r="AV148" s="168"/>
      <c r="AW148" s="168"/>
      <c r="AX148" s="168"/>
      <c r="AY148" s="168"/>
      <c r="AZ148" s="168"/>
      <c r="BA148" s="168"/>
      <c r="BB148" s="168"/>
      <c r="BC148" s="168"/>
      <c r="BD148" s="168"/>
      <c r="BE148" s="168"/>
      <c r="BF148" s="168"/>
      <c r="BG148" s="168"/>
      <c r="BH148" s="168"/>
      <c r="BI148" s="168"/>
      <c r="BJ148" s="168"/>
      <c r="BK148" s="168"/>
      <c r="BL148" s="168"/>
      <c r="BM148" s="168"/>
      <c r="BN148" s="168"/>
      <c r="BO148" s="168"/>
      <c r="BP148" s="168"/>
      <c r="BQ148" s="168"/>
      <c r="BR148" s="168"/>
    </row>
    <row r="149" spans="1:70" s="157" customFormat="1" ht="15" thickBot="1" x14ac:dyDescent="0.4">
      <c r="A149" s="193" t="s">
        <v>113</v>
      </c>
      <c r="B149" s="214">
        <f t="shared" ref="B149" si="229">B148/1000</f>
        <v>24159.925419431278</v>
      </c>
      <c r="C149" s="214">
        <f t="shared" ref="C149" si="230">C148/1000</f>
        <v>24159.925419431278</v>
      </c>
      <c r="D149" s="214">
        <f t="shared" ref="D149" si="231">D148/1000</f>
        <v>24159.925419431278</v>
      </c>
      <c r="E149" s="214">
        <f t="shared" ref="E149" si="232">E148/1000</f>
        <v>24159.925419431278</v>
      </c>
      <c r="F149" s="214">
        <f t="shared" ref="F149" si="233">F148/1000</f>
        <v>24159.925419431278</v>
      </c>
      <c r="G149" s="214">
        <f t="shared" ref="G149" si="234">G148/1000</f>
        <v>19893.310787202368</v>
      </c>
      <c r="H149" s="214">
        <f t="shared" ref="H149" si="235">H148/1000</f>
        <v>19893.310787202368</v>
      </c>
      <c r="I149" s="214">
        <f t="shared" ref="I149" si="236">I148/1000</f>
        <v>19893.310787202368</v>
      </c>
      <c r="J149" s="214">
        <f t="shared" ref="J149" si="237">J148/1000</f>
        <v>19893.310787202368</v>
      </c>
      <c r="K149" s="214">
        <f t="shared" ref="K149" si="238">K148/1000</f>
        <v>19893.310787202368</v>
      </c>
      <c r="L149" s="214">
        <f t="shared" ref="L149" si="239">L148/1000</f>
        <v>19893.310787202368</v>
      </c>
      <c r="M149" s="214">
        <f t="shared" ref="M149" si="240">M148/1000</f>
        <v>19893.310787202368</v>
      </c>
      <c r="N149" s="214">
        <f t="shared" ref="N149" si="241">N148/1000</f>
        <v>19893.310787202368</v>
      </c>
      <c r="O149" s="214">
        <f t="shared" ref="O149" si="242">O148/1000</f>
        <v>279946.11339477525</v>
      </c>
      <c r="P149" s="164"/>
      <c r="Q149" s="168"/>
      <c r="R149" s="147"/>
      <c r="S149" s="168"/>
      <c r="T149" s="168"/>
      <c r="U149" s="168"/>
      <c r="V149" s="168"/>
      <c r="W149" s="168"/>
      <c r="X149" s="168"/>
      <c r="Y149" s="168"/>
      <c r="Z149" s="168"/>
      <c r="AA149" s="168"/>
      <c r="AB149" s="168"/>
      <c r="AC149" s="168"/>
      <c r="AD149" s="151"/>
      <c r="AE149" s="168"/>
      <c r="AF149" s="168"/>
      <c r="AG149" s="168"/>
      <c r="AH149" s="151"/>
      <c r="AI149" s="168"/>
      <c r="AJ149" s="168"/>
      <c r="AK149" s="168"/>
      <c r="AL149" s="168"/>
      <c r="AM149" s="168"/>
      <c r="AN149" s="168"/>
      <c r="AO149" s="168"/>
      <c r="AP149" s="168"/>
      <c r="AQ149" s="168"/>
      <c r="AR149" s="168"/>
      <c r="AS149" s="168"/>
      <c r="AT149" s="168"/>
      <c r="AU149" s="168"/>
      <c r="AV149" s="168"/>
      <c r="AW149" s="168"/>
      <c r="AX149" s="168"/>
      <c r="AY149" s="168"/>
      <c r="AZ149" s="168"/>
      <c r="BA149" s="168"/>
      <c r="BB149" s="168"/>
      <c r="BC149" s="168"/>
      <c r="BD149" s="168"/>
      <c r="BE149" s="168"/>
      <c r="BF149" s="168"/>
      <c r="BG149" s="168"/>
      <c r="BH149" s="168"/>
      <c r="BI149" s="168"/>
      <c r="BJ149" s="168"/>
      <c r="BK149" s="168"/>
      <c r="BL149" s="168"/>
      <c r="BM149" s="168"/>
      <c r="BN149" s="168"/>
      <c r="BO149" s="168"/>
      <c r="BP149" s="168"/>
      <c r="BQ149" s="168"/>
      <c r="BR149" s="168"/>
    </row>
    <row r="150" spans="1:70" s="152" customFormat="1" x14ac:dyDescent="0.35">
      <c r="A150" s="193" t="s">
        <v>64</v>
      </c>
      <c r="B150" s="215">
        <f>B149*$AB$3</f>
        <v>4831985.0838862555</v>
      </c>
      <c r="C150" s="215">
        <f t="shared" ref="C150" si="243">C149*$AB$3</f>
        <v>4831985.0838862555</v>
      </c>
      <c r="D150" s="215">
        <f t="shared" ref="D150" si="244">D149*$AB$3</f>
        <v>4831985.0838862555</v>
      </c>
      <c r="E150" s="215">
        <f t="shared" ref="E150" si="245">E149*$AB$3</f>
        <v>4831985.0838862555</v>
      </c>
      <c r="F150" s="215">
        <f t="shared" ref="F150" si="246">F149*$AB$3</f>
        <v>4831985.0838862555</v>
      </c>
      <c r="G150" s="215">
        <f t="shared" ref="G150" si="247">G149*$AB$3</f>
        <v>3978662.1574404738</v>
      </c>
      <c r="H150" s="215">
        <f t="shared" ref="H150" si="248">H149*$AB$3</f>
        <v>3978662.1574404738</v>
      </c>
      <c r="I150" s="215">
        <f t="shared" ref="I150" si="249">I149*$AB$3</f>
        <v>3978662.1574404738</v>
      </c>
      <c r="J150" s="215">
        <f t="shared" ref="J150" si="250">J149*$AB$3</f>
        <v>3978662.1574404738</v>
      </c>
      <c r="K150" s="215">
        <f t="shared" ref="K150" si="251">K149*$AB$3</f>
        <v>3978662.1574404738</v>
      </c>
      <c r="L150" s="215">
        <f t="shared" ref="L150" si="252">L149*$AB$3</f>
        <v>3978662.1574404738</v>
      </c>
      <c r="M150" s="215">
        <f t="shared" ref="M150" si="253">M149*$AB$3</f>
        <v>3978662.1574404738</v>
      </c>
      <c r="N150" s="215">
        <f t="shared" ref="N150" si="254">N149*$AB$3</f>
        <v>3978662.1574404738</v>
      </c>
      <c r="O150" s="215">
        <f t="shared" ref="O150" si="255">O149*$AB$3</f>
        <v>55989222.678955048</v>
      </c>
      <c r="P150" s="159"/>
      <c r="Q150" s="168"/>
      <c r="R150" s="147"/>
      <c r="S150" s="168"/>
      <c r="T150" s="168"/>
      <c r="U150" s="168"/>
      <c r="V150" s="168"/>
      <c r="W150" s="168"/>
      <c r="X150" s="168"/>
      <c r="Y150" s="168"/>
      <c r="Z150" s="168"/>
      <c r="AA150" s="168"/>
      <c r="AB150" s="168"/>
      <c r="AC150" s="168"/>
      <c r="AD150" s="151"/>
      <c r="AE150" s="168"/>
      <c r="AF150" s="168"/>
      <c r="AG150" s="168"/>
      <c r="AH150" s="151"/>
      <c r="AI150" s="168"/>
      <c r="AJ150" s="168"/>
      <c r="AK150" s="168"/>
      <c r="AL150" s="168"/>
      <c r="AM150" s="168"/>
      <c r="AN150" s="168"/>
      <c r="AO150" s="168"/>
      <c r="AP150" s="168"/>
      <c r="AQ150" s="168"/>
      <c r="AR150" s="168"/>
      <c r="AS150" s="168"/>
      <c r="AT150" s="168"/>
      <c r="AU150" s="168"/>
      <c r="AV150" s="168"/>
      <c r="AW150" s="168"/>
      <c r="AX150" s="168"/>
      <c r="AY150" s="168"/>
      <c r="AZ150" s="168"/>
      <c r="BA150" s="168"/>
      <c r="BB150" s="168"/>
      <c r="BC150" s="168"/>
      <c r="BD150" s="168"/>
      <c r="BE150" s="168"/>
      <c r="BF150" s="168"/>
      <c r="BG150" s="168"/>
      <c r="BH150" s="168"/>
      <c r="BI150" s="168"/>
      <c r="BJ150" s="168"/>
      <c r="BK150" s="168"/>
      <c r="BL150" s="168"/>
      <c r="BM150" s="168"/>
      <c r="BN150" s="168"/>
      <c r="BO150" s="168"/>
      <c r="BP150" s="168"/>
      <c r="BQ150" s="168"/>
      <c r="BR150" s="168"/>
    </row>
    <row r="151" spans="1:70" s="152" customFormat="1" x14ac:dyDescent="0.35">
      <c r="A151" s="193"/>
      <c r="B151" s="214"/>
      <c r="C151" s="194"/>
      <c r="D151" s="194"/>
      <c r="E151" s="194"/>
      <c r="F151" s="194"/>
      <c r="G151" s="214"/>
      <c r="H151" s="194"/>
      <c r="I151" s="194"/>
      <c r="J151" s="194"/>
      <c r="K151" s="194"/>
      <c r="L151" s="194"/>
      <c r="M151" s="194"/>
      <c r="N151" s="194"/>
      <c r="O151" s="194"/>
      <c r="P151" s="159"/>
      <c r="Q151" s="168"/>
      <c r="R151" s="147"/>
      <c r="S151" s="168"/>
      <c r="T151" s="168"/>
      <c r="U151" s="168"/>
      <c r="V151" s="168"/>
      <c r="W151" s="168"/>
      <c r="X151" s="168"/>
      <c r="Y151" s="168"/>
      <c r="Z151" s="168"/>
      <c r="AA151" s="168"/>
      <c r="AB151" s="168"/>
      <c r="AC151" s="168"/>
      <c r="AD151" s="151"/>
      <c r="AE151" s="168"/>
      <c r="AF151" s="168"/>
      <c r="AG151" s="168"/>
      <c r="AH151" s="151"/>
      <c r="AI151" s="168"/>
      <c r="AJ151" s="168"/>
      <c r="AK151" s="168"/>
      <c r="AL151" s="168"/>
      <c r="AM151" s="168"/>
      <c r="AN151" s="168"/>
      <c r="AO151" s="168"/>
      <c r="AP151" s="168"/>
      <c r="AQ151" s="168"/>
      <c r="AR151" s="168"/>
      <c r="AS151" s="168"/>
      <c r="AT151" s="168"/>
      <c r="AU151" s="168"/>
      <c r="AV151" s="168"/>
      <c r="AW151" s="168"/>
      <c r="AX151" s="168"/>
      <c r="AY151" s="168"/>
      <c r="AZ151" s="168"/>
      <c r="BA151" s="168"/>
      <c r="BB151" s="168"/>
      <c r="BC151" s="168"/>
      <c r="BD151" s="168"/>
      <c r="BE151" s="168"/>
      <c r="BF151" s="168"/>
      <c r="BG151" s="168"/>
      <c r="BH151" s="168"/>
      <c r="BI151" s="168"/>
      <c r="BJ151" s="168"/>
      <c r="BK151" s="168"/>
      <c r="BL151" s="168"/>
      <c r="BM151" s="168"/>
      <c r="BN151" s="168"/>
      <c r="BO151" s="168"/>
      <c r="BP151" s="168"/>
      <c r="BQ151" s="168"/>
      <c r="BR151" s="168"/>
    </row>
    <row r="152" spans="1:70" s="152" customFormat="1" ht="15" thickBot="1" x14ac:dyDescent="0.4">
      <c r="A152" s="197"/>
      <c r="B152" s="216"/>
      <c r="C152" s="198"/>
      <c r="D152" s="198"/>
      <c r="E152" s="198"/>
      <c r="F152" s="198"/>
      <c r="G152" s="216"/>
      <c r="H152" s="198"/>
      <c r="I152" s="198"/>
      <c r="J152" s="198"/>
      <c r="K152" s="198"/>
      <c r="L152" s="198"/>
      <c r="M152" s="198"/>
      <c r="N152" s="198"/>
      <c r="O152" s="198"/>
      <c r="P152" s="159"/>
      <c r="Q152" s="168"/>
      <c r="R152" s="147"/>
      <c r="S152" s="168"/>
      <c r="T152" s="168"/>
      <c r="U152" s="168"/>
      <c r="V152" s="168"/>
      <c r="W152" s="168"/>
      <c r="X152" s="168"/>
      <c r="Y152" s="168"/>
      <c r="Z152" s="168"/>
      <c r="AA152" s="168"/>
      <c r="AB152" s="168"/>
      <c r="AC152" s="168"/>
      <c r="AD152" s="151"/>
      <c r="AE152" s="168"/>
      <c r="AF152" s="168"/>
      <c r="AG152" s="168"/>
      <c r="AH152" s="151"/>
      <c r="AI152" s="168"/>
      <c r="AJ152" s="168"/>
      <c r="AK152" s="168"/>
      <c r="AL152" s="168"/>
      <c r="AM152" s="168"/>
      <c r="AN152" s="168"/>
      <c r="AO152" s="168"/>
      <c r="AP152" s="168"/>
      <c r="AQ152" s="168"/>
      <c r="AR152" s="168"/>
      <c r="AS152" s="168"/>
      <c r="AT152" s="168"/>
      <c r="AU152" s="168"/>
      <c r="AV152" s="168"/>
      <c r="AW152" s="168"/>
      <c r="AX152" s="168"/>
      <c r="AY152" s="168"/>
      <c r="AZ152" s="168"/>
      <c r="BA152" s="168"/>
      <c r="BB152" s="168"/>
      <c r="BC152" s="168"/>
      <c r="BD152" s="168"/>
      <c r="BE152" s="168"/>
      <c r="BF152" s="168"/>
      <c r="BG152" s="168"/>
      <c r="BH152" s="168"/>
      <c r="BI152" s="168"/>
      <c r="BJ152" s="168"/>
      <c r="BK152" s="168"/>
      <c r="BL152" s="168"/>
      <c r="BM152" s="168"/>
      <c r="BN152" s="168"/>
      <c r="BO152" s="168"/>
      <c r="BP152" s="168"/>
      <c r="BQ152" s="168"/>
      <c r="BR152" s="168"/>
    </row>
    <row r="153" spans="1:70" s="152" customFormat="1" x14ac:dyDescent="0.35">
      <c r="A153" s="179"/>
      <c r="B153" s="212"/>
      <c r="C153" s="179"/>
      <c r="D153" s="179"/>
      <c r="E153" s="179"/>
      <c r="F153" s="179"/>
      <c r="G153" s="212"/>
      <c r="H153" s="179"/>
      <c r="I153" s="179"/>
      <c r="J153" s="179"/>
      <c r="K153" s="179"/>
      <c r="L153" s="179"/>
      <c r="M153" s="179"/>
      <c r="N153" s="179"/>
      <c r="O153" s="179"/>
      <c r="P153" s="160"/>
      <c r="Q153" s="168"/>
      <c r="R153" s="147"/>
      <c r="S153" s="168"/>
      <c r="T153" s="168"/>
      <c r="U153" s="168"/>
      <c r="V153" s="168"/>
      <c r="W153" s="168"/>
      <c r="X153" s="168"/>
      <c r="Y153" s="168"/>
      <c r="Z153" s="168"/>
      <c r="AA153" s="168"/>
      <c r="AB153" s="168"/>
      <c r="AC153" s="168"/>
      <c r="AD153" s="151"/>
      <c r="AE153" s="168"/>
      <c r="AF153" s="168"/>
      <c r="AG153" s="168"/>
      <c r="AH153" s="151"/>
      <c r="AI153" s="168"/>
      <c r="AJ153" s="168"/>
      <c r="AK153" s="168"/>
      <c r="AL153" s="168"/>
      <c r="AM153" s="168"/>
      <c r="AN153" s="168"/>
      <c r="AO153" s="168"/>
      <c r="AP153" s="168"/>
      <c r="AQ153" s="168"/>
      <c r="AR153" s="168"/>
      <c r="AS153" s="168"/>
      <c r="AT153" s="168"/>
      <c r="AU153" s="168"/>
      <c r="AV153" s="168"/>
      <c r="AW153" s="168"/>
      <c r="AX153" s="168"/>
      <c r="AY153" s="168"/>
      <c r="AZ153" s="168"/>
      <c r="BA153" s="168"/>
      <c r="BB153" s="168"/>
      <c r="BC153" s="168"/>
      <c r="BD153" s="168"/>
      <c r="BE153" s="168"/>
      <c r="BF153" s="168"/>
      <c r="BG153" s="168"/>
      <c r="BH153" s="168"/>
      <c r="BI153" s="168"/>
      <c r="BJ153" s="168"/>
      <c r="BK153" s="168"/>
      <c r="BL153" s="168"/>
      <c r="BM153" s="168"/>
      <c r="BN153" s="168"/>
      <c r="BO153" s="168"/>
      <c r="BP153" s="168"/>
      <c r="BQ153" s="168"/>
      <c r="BR153" s="168"/>
    </row>
    <row r="154" spans="1:70" s="152" customFormat="1" x14ac:dyDescent="0.35">
      <c r="A154" s="179"/>
      <c r="B154" s="212"/>
      <c r="C154" s="179"/>
      <c r="D154" s="179"/>
      <c r="E154" s="179"/>
      <c r="F154" s="179"/>
      <c r="G154" s="212"/>
      <c r="H154" s="179"/>
      <c r="I154" s="179"/>
      <c r="J154" s="179"/>
      <c r="K154" s="179"/>
      <c r="L154" s="179"/>
      <c r="M154" s="179"/>
      <c r="N154" s="179"/>
      <c r="O154" s="179"/>
      <c r="P154" s="159"/>
      <c r="Q154" s="168"/>
      <c r="R154" s="147"/>
      <c r="S154" s="168"/>
      <c r="T154" s="168"/>
      <c r="U154" s="168"/>
      <c r="V154" s="168"/>
      <c r="W154" s="168"/>
      <c r="X154" s="168"/>
      <c r="Y154" s="168"/>
      <c r="Z154" s="168"/>
      <c r="AA154" s="168"/>
      <c r="AB154" s="168"/>
      <c r="AC154" s="168"/>
      <c r="AD154" s="151"/>
      <c r="AE154" s="168"/>
      <c r="AF154" s="168"/>
      <c r="AG154" s="168"/>
      <c r="AH154" s="151"/>
      <c r="AI154" s="168"/>
      <c r="AJ154" s="168"/>
      <c r="AK154" s="168"/>
      <c r="AL154" s="168"/>
      <c r="AM154" s="168"/>
      <c r="AN154" s="168"/>
      <c r="AO154" s="168"/>
      <c r="AP154" s="168"/>
      <c r="AQ154" s="168"/>
      <c r="AR154" s="168"/>
      <c r="AS154" s="168"/>
      <c r="AT154" s="168"/>
      <c r="AU154" s="168"/>
      <c r="AV154" s="168"/>
      <c r="AW154" s="168"/>
      <c r="AX154" s="168"/>
      <c r="AY154" s="168"/>
      <c r="AZ154" s="168"/>
      <c r="BA154" s="168"/>
      <c r="BB154" s="168"/>
      <c r="BC154" s="168"/>
      <c r="BD154" s="168"/>
      <c r="BE154" s="168"/>
      <c r="BF154" s="168"/>
      <c r="BG154" s="168"/>
      <c r="BH154" s="168"/>
      <c r="BI154" s="168"/>
      <c r="BJ154" s="168"/>
      <c r="BK154" s="168"/>
      <c r="BL154" s="168"/>
      <c r="BM154" s="168"/>
      <c r="BN154" s="168"/>
      <c r="BO154" s="168"/>
      <c r="BP154" s="168"/>
      <c r="BQ154" s="168"/>
      <c r="BR154" s="168"/>
    </row>
    <row r="155" spans="1:70" s="152" customFormat="1" x14ac:dyDescent="0.35">
      <c r="A155" s="180" t="s">
        <v>0</v>
      </c>
      <c r="B155" s="209" t="s">
        <v>7</v>
      </c>
      <c r="C155" s="182" t="s">
        <v>8</v>
      </c>
      <c r="D155" s="182" t="s">
        <v>9</v>
      </c>
      <c r="E155" s="182" t="s">
        <v>10</v>
      </c>
      <c r="F155" s="182" t="s">
        <v>11</v>
      </c>
      <c r="G155" s="209" t="s">
        <v>12</v>
      </c>
      <c r="H155" s="182" t="s">
        <v>13</v>
      </c>
      <c r="I155" s="182" t="s">
        <v>14</v>
      </c>
      <c r="J155" s="182" t="s">
        <v>15</v>
      </c>
      <c r="K155" s="182" t="s">
        <v>16</v>
      </c>
      <c r="L155" s="183" t="s">
        <v>17</v>
      </c>
      <c r="M155" s="184" t="s">
        <v>23</v>
      </c>
      <c r="N155" s="184" t="s">
        <v>24</v>
      </c>
      <c r="O155" s="185" t="s">
        <v>18</v>
      </c>
      <c r="P155" s="159"/>
      <c r="Q155" s="168"/>
      <c r="R155" s="147"/>
      <c r="S155" s="168"/>
      <c r="T155" s="168"/>
      <c r="U155" s="168"/>
      <c r="V155" s="168"/>
      <c r="W155" s="168"/>
      <c r="X155" s="168"/>
      <c r="Y155" s="168"/>
      <c r="Z155" s="168"/>
      <c r="AA155" s="168"/>
      <c r="AB155" s="168"/>
      <c r="AC155" s="168"/>
      <c r="AD155" s="151"/>
      <c r="AE155" s="168"/>
      <c r="AF155" s="168"/>
      <c r="AG155" s="168"/>
      <c r="AH155" s="151"/>
      <c r="AI155" s="168"/>
      <c r="AJ155" s="168"/>
      <c r="AK155" s="168"/>
      <c r="AL155" s="168"/>
      <c r="AM155" s="168"/>
      <c r="AN155" s="168"/>
      <c r="AO155" s="168"/>
      <c r="AP155" s="168"/>
      <c r="AQ155" s="168"/>
      <c r="AR155" s="168"/>
      <c r="AS155" s="168"/>
      <c r="AT155" s="168"/>
      <c r="AU155" s="168"/>
      <c r="AV155" s="168"/>
      <c r="AW155" s="168"/>
      <c r="AX155" s="168"/>
      <c r="AY155" s="168"/>
      <c r="AZ155" s="168"/>
      <c r="BA155" s="168"/>
      <c r="BB155" s="168"/>
      <c r="BC155" s="168"/>
      <c r="BD155" s="168"/>
      <c r="BE155" s="168"/>
      <c r="BF155" s="168"/>
      <c r="BG155" s="168"/>
      <c r="BH155" s="168"/>
      <c r="BI155" s="168"/>
      <c r="BJ155" s="168"/>
      <c r="BK155" s="168"/>
      <c r="BL155" s="168"/>
      <c r="BM155" s="168"/>
      <c r="BN155" s="168"/>
      <c r="BO155" s="168"/>
      <c r="BP155" s="168"/>
      <c r="BQ155" s="168"/>
      <c r="BR155" s="168"/>
    </row>
    <row r="156" spans="1:70" s="152" customFormat="1" x14ac:dyDescent="0.35">
      <c r="A156" s="154" t="s">
        <v>36</v>
      </c>
      <c r="B156" s="217">
        <v>10578</v>
      </c>
      <c r="C156" s="199">
        <v>10578</v>
      </c>
      <c r="D156" s="199">
        <v>10578</v>
      </c>
      <c r="E156" s="199">
        <v>10578</v>
      </c>
      <c r="F156" s="199">
        <v>10578</v>
      </c>
      <c r="G156" s="217">
        <v>10578</v>
      </c>
      <c r="H156" s="199">
        <v>10578</v>
      </c>
      <c r="I156" s="199">
        <v>10578</v>
      </c>
      <c r="J156" s="199">
        <v>10578</v>
      </c>
      <c r="K156" s="199">
        <v>10578</v>
      </c>
      <c r="L156" s="199">
        <v>10578</v>
      </c>
      <c r="M156" s="199">
        <v>10578</v>
      </c>
      <c r="N156" s="199">
        <v>10578</v>
      </c>
      <c r="O156" s="200">
        <f>SUM(B156:N156)</f>
        <v>137514</v>
      </c>
      <c r="P156" s="159"/>
      <c r="Q156" s="168"/>
      <c r="R156" s="147"/>
      <c r="S156" s="168"/>
      <c r="T156" s="168"/>
      <c r="U156" s="168"/>
      <c r="V156" s="168"/>
      <c r="W156" s="168"/>
      <c r="X156" s="168"/>
      <c r="Y156" s="168"/>
      <c r="Z156" s="168"/>
      <c r="AA156" s="168"/>
      <c r="AB156" s="168"/>
      <c r="AC156" s="168"/>
      <c r="AD156" s="151"/>
      <c r="AE156" s="168"/>
      <c r="AF156" s="168"/>
      <c r="AG156" s="168"/>
      <c r="AH156" s="151"/>
      <c r="AI156" s="168"/>
      <c r="AJ156" s="168"/>
      <c r="AK156" s="168"/>
      <c r="AL156" s="168"/>
      <c r="AM156" s="168"/>
      <c r="AN156" s="168"/>
      <c r="AO156" s="168"/>
      <c r="AP156" s="168"/>
      <c r="AQ156" s="168"/>
      <c r="AR156" s="168"/>
      <c r="AS156" s="168"/>
      <c r="AT156" s="168"/>
      <c r="AU156" s="168"/>
      <c r="AV156" s="168"/>
      <c r="AW156" s="168"/>
      <c r="AX156" s="168"/>
      <c r="AY156" s="168"/>
      <c r="AZ156" s="168"/>
      <c r="BA156" s="168"/>
      <c r="BB156" s="168"/>
      <c r="BC156" s="168"/>
      <c r="BD156" s="168"/>
      <c r="BE156" s="168"/>
      <c r="BF156" s="168"/>
      <c r="BG156" s="168"/>
      <c r="BH156" s="168"/>
      <c r="BI156" s="168"/>
      <c r="BJ156" s="168"/>
      <c r="BK156" s="168"/>
      <c r="BL156" s="168"/>
      <c r="BM156" s="168"/>
      <c r="BN156" s="168"/>
      <c r="BO156" s="168"/>
      <c r="BP156" s="168"/>
      <c r="BQ156" s="168"/>
      <c r="BR156" s="168"/>
    </row>
    <row r="157" spans="1:70" s="158" customFormat="1" x14ac:dyDescent="0.35">
      <c r="A157" s="187" t="s">
        <v>20</v>
      </c>
      <c r="B157" s="218">
        <f>'housing proportion projections'!I56</f>
        <v>1750.36034465748</v>
      </c>
      <c r="C157" s="218">
        <f>'housing proportion projections'!J56</f>
        <v>1750.36034465748</v>
      </c>
      <c r="D157" s="218">
        <f>'housing proportion projections'!K56</f>
        <v>1750.36034465748</v>
      </c>
      <c r="E157" s="218">
        <f>'housing proportion projections'!L56</f>
        <v>1750.36034465748</v>
      </c>
      <c r="F157" s="218">
        <f>'housing proportion projections'!M56</f>
        <v>1750.36034465748</v>
      </c>
      <c r="G157" s="218">
        <f>'housing proportion projections'!N56</f>
        <v>1750.36034465748</v>
      </c>
      <c r="H157" s="218">
        <f>'housing proportion projections'!O56</f>
        <v>1750.36034465748</v>
      </c>
      <c r="I157" s="218">
        <f>'housing proportion projections'!P56</f>
        <v>1750.36034465748</v>
      </c>
      <c r="J157" s="218">
        <f>'housing proportion projections'!Q56</f>
        <v>1750.36034465748</v>
      </c>
      <c r="K157" s="218">
        <f>'housing proportion projections'!R56</f>
        <v>1750.36034465748</v>
      </c>
      <c r="L157" s="218">
        <f>'housing proportion projections'!S56</f>
        <v>1750.36034465748</v>
      </c>
      <c r="M157" s="218">
        <f>'housing proportion projections'!T56</f>
        <v>1750.36034465748</v>
      </c>
      <c r="N157" s="218">
        <f>'housing proportion projections'!U56</f>
        <v>1750.36034465748</v>
      </c>
      <c r="O157" s="200">
        <f t="shared" ref="O157:O160" si="256">SUM(B157:N157)</f>
        <v>22754.684480547246</v>
      </c>
      <c r="P157" s="167"/>
      <c r="Q157" s="168"/>
      <c r="R157" s="147"/>
      <c r="S157" s="168"/>
      <c r="T157" s="168"/>
      <c r="U157" s="168"/>
      <c r="V157" s="168"/>
      <c r="W157" s="168"/>
      <c r="X157" s="168"/>
      <c r="Y157" s="168"/>
      <c r="Z157" s="168"/>
      <c r="AA157" s="168"/>
      <c r="AB157" s="168"/>
      <c r="AC157" s="168"/>
      <c r="AD157" s="151"/>
      <c r="AE157" s="168"/>
      <c r="AF157" s="168"/>
      <c r="AG157" s="168"/>
      <c r="AH157" s="151"/>
      <c r="AI157" s="168"/>
      <c r="AJ157" s="168"/>
      <c r="AK157" s="168"/>
      <c r="AL157" s="168"/>
      <c r="AM157" s="168"/>
      <c r="AN157" s="168"/>
      <c r="AO157" s="168"/>
      <c r="AP157" s="168"/>
      <c r="AQ157" s="168"/>
      <c r="AR157" s="168"/>
      <c r="AS157" s="168"/>
      <c r="AT157" s="168"/>
      <c r="AU157" s="168"/>
      <c r="AV157" s="168"/>
      <c r="AW157" s="168"/>
      <c r="AX157" s="168"/>
      <c r="AY157" s="168"/>
      <c r="AZ157" s="168"/>
      <c r="BA157" s="168"/>
      <c r="BB157" s="168"/>
      <c r="BC157" s="168"/>
      <c r="BD157" s="168"/>
      <c r="BE157" s="168"/>
      <c r="BF157" s="168"/>
      <c r="BG157" s="168"/>
      <c r="BH157" s="168"/>
      <c r="BI157" s="168"/>
      <c r="BJ157" s="168"/>
      <c r="BK157" s="168"/>
      <c r="BL157" s="168"/>
      <c r="BM157" s="168"/>
      <c r="BN157" s="168"/>
      <c r="BO157" s="168"/>
      <c r="BP157" s="168"/>
      <c r="BQ157" s="168"/>
      <c r="BR157" s="168"/>
    </row>
    <row r="158" spans="1:70" s="152" customFormat="1" ht="15" thickBot="1" x14ac:dyDescent="0.4">
      <c r="A158" s="187" t="s">
        <v>21</v>
      </c>
      <c r="B158" s="218">
        <f>'housing proportion projections'!I57</f>
        <v>3180.9316111421713</v>
      </c>
      <c r="C158" s="218">
        <f>'housing proportion projections'!J57</f>
        <v>3180.9316111421713</v>
      </c>
      <c r="D158" s="218">
        <f>'housing proportion projections'!K57</f>
        <v>3180.9316111421713</v>
      </c>
      <c r="E158" s="218">
        <f>'housing proportion projections'!L57</f>
        <v>3180.9316111421713</v>
      </c>
      <c r="F158" s="218">
        <f>'housing proportion projections'!M57</f>
        <v>3180.9316111421713</v>
      </c>
      <c r="G158" s="218">
        <f>'housing proportion projections'!N57</f>
        <v>3180.9316111421713</v>
      </c>
      <c r="H158" s="218">
        <f>'housing proportion projections'!O57</f>
        <v>3180.9316111421713</v>
      </c>
      <c r="I158" s="218">
        <f>'housing proportion projections'!P57</f>
        <v>3180.9316111421713</v>
      </c>
      <c r="J158" s="218">
        <f>'housing proportion projections'!Q57</f>
        <v>3180.9316111421713</v>
      </c>
      <c r="K158" s="218">
        <f>'housing proportion projections'!R57</f>
        <v>3180.9316111421713</v>
      </c>
      <c r="L158" s="218">
        <f>'housing proportion projections'!S57</f>
        <v>3180.9316111421713</v>
      </c>
      <c r="M158" s="218">
        <f>'housing proportion projections'!T57</f>
        <v>3180.9316111421713</v>
      </c>
      <c r="N158" s="218">
        <f>'housing proportion projections'!U57</f>
        <v>3180.9316111421713</v>
      </c>
      <c r="O158" s="200">
        <f t="shared" si="256"/>
        <v>41352.110944848231</v>
      </c>
      <c r="P158" s="159"/>
      <c r="Q158" s="168"/>
      <c r="R158" s="147"/>
      <c r="S158" s="168"/>
      <c r="T158" s="168"/>
      <c r="U158" s="168"/>
      <c r="V158" s="168"/>
      <c r="W158" s="168"/>
      <c r="X158" s="168"/>
      <c r="Y158" s="168"/>
      <c r="Z158" s="168"/>
      <c r="AA158" s="168"/>
      <c r="AB158" s="168"/>
      <c r="AC158" s="168"/>
      <c r="AD158" s="151"/>
      <c r="AE158" s="168"/>
      <c r="AF158" s="168"/>
      <c r="AG158" s="168"/>
      <c r="AH158" s="151"/>
      <c r="AI158" s="168"/>
      <c r="AJ158" s="168"/>
      <c r="AK158" s="168"/>
      <c r="AL158" s="168"/>
      <c r="AM158" s="168"/>
      <c r="AN158" s="168"/>
      <c r="AO158" s="168"/>
      <c r="AP158" s="168"/>
      <c r="AQ158" s="168"/>
      <c r="AR158" s="168"/>
      <c r="AS158" s="168"/>
      <c r="AT158" s="168"/>
      <c r="AU158" s="168"/>
      <c r="AV158" s="168"/>
      <c r="AW158" s="168"/>
      <c r="AX158" s="168"/>
      <c r="AY158" s="168"/>
      <c r="AZ158" s="168"/>
      <c r="BA158" s="168"/>
      <c r="BB158" s="168"/>
      <c r="BC158" s="168"/>
      <c r="BD158" s="168"/>
      <c r="BE158" s="168"/>
      <c r="BF158" s="168"/>
      <c r="BG158" s="168"/>
      <c r="BH158" s="168"/>
      <c r="BI158" s="168"/>
      <c r="BJ158" s="168"/>
      <c r="BK158" s="168"/>
      <c r="BL158" s="168"/>
      <c r="BM158" s="168"/>
      <c r="BN158" s="168"/>
      <c r="BO158" s="168"/>
      <c r="BP158" s="168"/>
      <c r="BQ158" s="168"/>
      <c r="BR158" s="168"/>
    </row>
    <row r="159" spans="1:70" s="156" customFormat="1" x14ac:dyDescent="0.35">
      <c r="A159" s="187" t="s">
        <v>26</v>
      </c>
      <c r="B159" s="218">
        <f>'housing proportion projections'!I58</f>
        <v>3486.0227414740025</v>
      </c>
      <c r="C159" s="218">
        <f>'housing proportion projections'!J58</f>
        <v>3486.0227414740025</v>
      </c>
      <c r="D159" s="218">
        <f>'housing proportion projections'!K58</f>
        <v>3486.0227414740025</v>
      </c>
      <c r="E159" s="218">
        <f>'housing proportion projections'!L58</f>
        <v>3486.0227414740025</v>
      </c>
      <c r="F159" s="218">
        <f>'housing proportion projections'!M58</f>
        <v>3486.0227414740025</v>
      </c>
      <c r="G159" s="218">
        <f>'housing proportion projections'!N58</f>
        <v>3486.0227414740025</v>
      </c>
      <c r="H159" s="218">
        <f>'housing proportion projections'!O58</f>
        <v>3486.0227414740025</v>
      </c>
      <c r="I159" s="218">
        <f>'housing proportion projections'!P58</f>
        <v>3486.0227414740025</v>
      </c>
      <c r="J159" s="218">
        <f>'housing proportion projections'!Q58</f>
        <v>3486.0227414740025</v>
      </c>
      <c r="K159" s="218">
        <f>'housing proportion projections'!R58</f>
        <v>3486.0227414740025</v>
      </c>
      <c r="L159" s="218">
        <f>'housing proportion projections'!S58</f>
        <v>3486.0227414740025</v>
      </c>
      <c r="M159" s="218">
        <f>'housing proportion projections'!T58</f>
        <v>3486.0227414740025</v>
      </c>
      <c r="N159" s="218">
        <f>'housing proportion projections'!U58</f>
        <v>3486.0227414740025</v>
      </c>
      <c r="O159" s="200">
        <f t="shared" si="256"/>
        <v>45318.295639162032</v>
      </c>
      <c r="P159" s="161"/>
      <c r="Q159" s="168"/>
      <c r="R159" s="147"/>
      <c r="S159" s="168"/>
      <c r="T159" s="168"/>
      <c r="U159" s="168"/>
      <c r="V159" s="168"/>
      <c r="W159" s="168"/>
      <c r="X159" s="168"/>
      <c r="Y159" s="168"/>
      <c r="Z159" s="168"/>
      <c r="AA159" s="168"/>
      <c r="AB159" s="168"/>
      <c r="AC159" s="168"/>
      <c r="AD159" s="151"/>
      <c r="AE159" s="168"/>
      <c r="AF159" s="168"/>
      <c r="AG159" s="168"/>
      <c r="AH159" s="151"/>
      <c r="AI159" s="168"/>
      <c r="AJ159" s="168"/>
      <c r="AK159" s="168"/>
      <c r="AL159" s="168"/>
      <c r="AM159" s="168"/>
      <c r="AN159" s="168"/>
      <c r="AO159" s="168"/>
      <c r="AP159" s="168"/>
      <c r="AQ159" s="168"/>
      <c r="AR159" s="168"/>
      <c r="AS159" s="168"/>
      <c r="AT159" s="168"/>
      <c r="AU159" s="168"/>
      <c r="AV159" s="168"/>
      <c r="AW159" s="168"/>
      <c r="AX159" s="168"/>
      <c r="AY159" s="168"/>
      <c r="AZ159" s="168"/>
      <c r="BA159" s="168"/>
      <c r="BB159" s="168"/>
      <c r="BC159" s="168"/>
      <c r="BD159" s="168"/>
      <c r="BE159" s="168"/>
      <c r="BF159" s="168"/>
      <c r="BG159" s="168"/>
      <c r="BH159" s="168"/>
      <c r="BI159" s="168"/>
      <c r="BJ159" s="168"/>
      <c r="BK159" s="168"/>
      <c r="BL159" s="168"/>
      <c r="BM159" s="168"/>
      <c r="BN159" s="168"/>
      <c r="BO159" s="168"/>
      <c r="BP159" s="168"/>
      <c r="BQ159" s="168"/>
      <c r="BR159" s="168"/>
    </row>
    <row r="160" spans="1:70" s="155" customFormat="1" x14ac:dyDescent="0.35">
      <c r="A160" s="190" t="s">
        <v>22</v>
      </c>
      <c r="B160" s="218">
        <f>'housing proportion projections'!I59</f>
        <v>2160.7722728319136</v>
      </c>
      <c r="C160" s="218">
        <f>'housing proportion projections'!J59</f>
        <v>2160.7722728319136</v>
      </c>
      <c r="D160" s="218">
        <f>'housing proportion projections'!K59</f>
        <v>2160.7722728319136</v>
      </c>
      <c r="E160" s="218">
        <f>'housing proportion projections'!L59</f>
        <v>2160.7722728319136</v>
      </c>
      <c r="F160" s="218">
        <f>'housing proportion projections'!M59</f>
        <v>2160.7722728319136</v>
      </c>
      <c r="G160" s="218">
        <f>'housing proportion projections'!N59</f>
        <v>2160.7722728319136</v>
      </c>
      <c r="H160" s="218">
        <f>'housing proportion projections'!O59</f>
        <v>2160.7722728319136</v>
      </c>
      <c r="I160" s="218">
        <f>'housing proportion projections'!P59</f>
        <v>2160.7722728319136</v>
      </c>
      <c r="J160" s="218">
        <f>'housing proportion projections'!Q59</f>
        <v>2160.7722728319136</v>
      </c>
      <c r="K160" s="218">
        <f>'housing proportion projections'!R59</f>
        <v>2160.7722728319136</v>
      </c>
      <c r="L160" s="218">
        <f>'housing proportion projections'!S59</f>
        <v>2160.7722728319136</v>
      </c>
      <c r="M160" s="218">
        <f>'housing proportion projections'!T59</f>
        <v>2160.7722728319136</v>
      </c>
      <c r="N160" s="218">
        <f>'housing proportion projections'!U59</f>
        <v>2160.7722728319136</v>
      </c>
      <c r="O160" s="200">
        <f t="shared" si="256"/>
        <v>28090.039546814874</v>
      </c>
      <c r="P160" s="162"/>
      <c r="Q160" s="168"/>
      <c r="R160" s="147"/>
      <c r="S160" s="168"/>
      <c r="T160" s="168"/>
      <c r="U160" s="168"/>
      <c r="V160" s="168"/>
      <c r="W160" s="168"/>
      <c r="X160" s="168"/>
      <c r="Y160" s="168"/>
      <c r="Z160" s="168"/>
      <c r="AA160" s="168"/>
      <c r="AB160" s="168"/>
      <c r="AC160" s="168"/>
      <c r="AD160" s="151"/>
      <c r="AE160" s="168"/>
      <c r="AF160" s="168"/>
      <c r="AG160" s="168"/>
      <c r="AH160" s="151"/>
      <c r="AI160" s="168"/>
      <c r="AJ160" s="168"/>
      <c r="AK160" s="168"/>
      <c r="AL160" s="168"/>
      <c r="AM160" s="168"/>
      <c r="AN160" s="168"/>
      <c r="AO160" s="168"/>
      <c r="AP160" s="168"/>
      <c r="AQ160" s="168"/>
      <c r="AR160" s="168"/>
      <c r="AS160" s="168"/>
      <c r="AT160" s="168"/>
      <c r="AU160" s="168"/>
      <c r="AV160" s="168"/>
      <c r="AW160" s="168"/>
      <c r="AX160" s="168"/>
      <c r="AY160" s="168"/>
      <c r="AZ160" s="168"/>
      <c r="BA160" s="168"/>
      <c r="BB160" s="168"/>
      <c r="BC160" s="168"/>
      <c r="BD160" s="168"/>
      <c r="BE160" s="168"/>
      <c r="BF160" s="168"/>
      <c r="BG160" s="168"/>
      <c r="BH160" s="168"/>
      <c r="BI160" s="168"/>
      <c r="BJ160" s="168"/>
      <c r="BK160" s="168"/>
      <c r="BL160" s="168"/>
      <c r="BM160" s="168"/>
      <c r="BN160" s="168"/>
      <c r="BO160" s="168"/>
      <c r="BP160" s="168"/>
      <c r="BQ160" s="168"/>
      <c r="BR160" s="168"/>
    </row>
    <row r="161" spans="1:70" s="155" customFormat="1" ht="15" thickBot="1" x14ac:dyDescent="0.4">
      <c r="A161" s="179"/>
      <c r="B161" s="212"/>
      <c r="C161" s="179"/>
      <c r="D161" s="179"/>
      <c r="E161" s="179"/>
      <c r="F161" s="179"/>
      <c r="G161" s="212"/>
      <c r="H161" s="179"/>
      <c r="I161" s="179"/>
      <c r="J161" s="179"/>
      <c r="K161" s="179"/>
      <c r="L161" s="179"/>
      <c r="M161" s="179"/>
      <c r="N161" s="179"/>
      <c r="O161" s="179"/>
      <c r="P161" s="163"/>
      <c r="Q161" s="168"/>
      <c r="R161" s="147"/>
      <c r="S161" s="168"/>
      <c r="T161" s="168"/>
      <c r="U161" s="168"/>
      <c r="V161" s="168"/>
      <c r="W161" s="168"/>
      <c r="X161" s="168"/>
      <c r="Y161" s="168"/>
      <c r="Z161" s="168"/>
      <c r="AA161" s="168"/>
      <c r="AB161" s="168"/>
      <c r="AC161" s="168"/>
      <c r="AD161" s="151"/>
      <c r="AE161" s="168"/>
      <c r="AF161" s="168"/>
      <c r="AG161" s="168"/>
      <c r="AH161" s="151"/>
      <c r="AI161" s="168"/>
      <c r="AJ161" s="168"/>
      <c r="AK161" s="168"/>
      <c r="AL161" s="168"/>
      <c r="AM161" s="168"/>
      <c r="AN161" s="168"/>
      <c r="AO161" s="168"/>
      <c r="AP161" s="168"/>
      <c r="AQ161" s="168"/>
      <c r="AR161" s="168"/>
      <c r="AS161" s="168"/>
      <c r="AT161" s="168"/>
      <c r="AU161" s="168"/>
      <c r="AV161" s="168"/>
      <c r="AW161" s="168"/>
      <c r="AX161" s="168"/>
      <c r="AY161" s="168"/>
      <c r="AZ161" s="168"/>
      <c r="BA161" s="168"/>
      <c r="BB161" s="168"/>
      <c r="BC161" s="168"/>
      <c r="BD161" s="168"/>
      <c r="BE161" s="168"/>
      <c r="BF161" s="168"/>
      <c r="BG161" s="168"/>
      <c r="BH161" s="168"/>
      <c r="BI161" s="168"/>
      <c r="BJ161" s="168"/>
      <c r="BK161" s="168"/>
      <c r="BL161" s="168"/>
      <c r="BM161" s="168"/>
      <c r="BN161" s="168"/>
      <c r="BO161" s="168"/>
      <c r="BP161" s="168"/>
      <c r="BQ161" s="168"/>
      <c r="BR161" s="168"/>
    </row>
    <row r="162" spans="1:70" s="155" customFormat="1" x14ac:dyDescent="0.35">
      <c r="A162" s="191" t="s">
        <v>134</v>
      </c>
      <c r="B162" s="213"/>
      <c r="C162" s="192"/>
      <c r="D162" s="192"/>
      <c r="E162" s="192"/>
      <c r="F162" s="192"/>
      <c r="G162" s="213"/>
      <c r="H162" s="192"/>
      <c r="I162" s="192"/>
      <c r="J162" s="192"/>
      <c r="K162" s="192"/>
      <c r="L162" s="192"/>
      <c r="M162" s="192"/>
      <c r="N162" s="192"/>
      <c r="O162" s="192"/>
      <c r="P162" s="162"/>
      <c r="Q162" s="168"/>
      <c r="R162" s="147"/>
      <c r="S162" s="168"/>
      <c r="T162" s="168"/>
      <c r="U162" s="168"/>
      <c r="V162" s="168"/>
      <c r="W162" s="168"/>
      <c r="X162" s="168"/>
      <c r="Y162" s="168"/>
      <c r="Z162" s="168"/>
      <c r="AA162" s="168"/>
      <c r="AB162" s="168"/>
      <c r="AC162" s="168"/>
      <c r="AD162" s="151"/>
      <c r="AE162" s="168"/>
      <c r="AF162" s="168"/>
      <c r="AG162" s="168"/>
      <c r="AH162" s="151"/>
      <c r="AI162" s="168"/>
      <c r="AJ162" s="168"/>
      <c r="AK162" s="168"/>
      <c r="AL162" s="168"/>
      <c r="AM162" s="168"/>
      <c r="AN162" s="168"/>
      <c r="AO162" s="168"/>
      <c r="AP162" s="168"/>
      <c r="AQ162" s="168"/>
      <c r="AR162" s="168"/>
      <c r="AS162" s="168"/>
      <c r="AT162" s="168"/>
      <c r="AU162" s="168"/>
      <c r="AV162" s="168"/>
      <c r="AW162" s="168"/>
      <c r="AX162" s="168"/>
      <c r="AY162" s="168"/>
      <c r="AZ162" s="168"/>
      <c r="BA162" s="168"/>
      <c r="BB162" s="168"/>
      <c r="BC162" s="168"/>
      <c r="BD162" s="168"/>
      <c r="BE162" s="168"/>
      <c r="BF162" s="168"/>
      <c r="BG162" s="168"/>
      <c r="BH162" s="168"/>
      <c r="BI162" s="168"/>
      <c r="BJ162" s="168"/>
      <c r="BK162" s="168"/>
      <c r="BL162" s="168"/>
      <c r="BM162" s="168"/>
      <c r="BN162" s="168"/>
      <c r="BO162" s="168"/>
      <c r="BP162" s="168"/>
      <c r="BQ162" s="168"/>
      <c r="BR162" s="168"/>
    </row>
    <row r="163" spans="1:70" s="157" customFormat="1" ht="15" thickBot="1" x14ac:dyDescent="0.4">
      <c r="A163" s="193" t="s">
        <v>112</v>
      </c>
      <c r="B163" s="214">
        <f>30*((B157*$AF$17)+(B158*$AF$18)+(B159*$AF$19)+(B160*$AF$20))+'scenario 1'!B163</f>
        <v>215973380.83043647</v>
      </c>
      <c r="C163" s="214">
        <f>30*((C157*$AF$17)+(C158*$AF$18)+(C159*$AF$19)+(C160*$AF$20))+'scenario 1'!C163</f>
        <v>215973380.83043647</v>
      </c>
      <c r="D163" s="214">
        <f>30*((D157*$AF$17)+(D158*$AF$18)+(D159*$AF$19)+(D160*$AF$20))+'scenario 1'!D163</f>
        <v>215973380.83043647</v>
      </c>
      <c r="E163" s="214">
        <f>30*((E157*$AF$17)+(E158*$AF$18)+(E159*$AF$19)+(E160*$AF$20))+'scenario 1'!E163</f>
        <v>215973380.83043647</v>
      </c>
      <c r="F163" s="214">
        <f>30*((F157*$AF$17)+(F158*$AF$18)+(F159*$AF$19)+(F160*$AF$20))+'scenario 1'!F163</f>
        <v>215973380.83043647</v>
      </c>
      <c r="G163" s="214">
        <f>30*((G157*$AJ$17)+(G158*$AJ$18)+(G159*$AJ$19)+(G160*$AJ$20))+'scenario 1'!G163</f>
        <v>177540017.36164606</v>
      </c>
      <c r="H163" s="214">
        <f>30*((H157*$AJ$17)+(H158*$AJ$18)+(H159*$AJ$19)+(H160*$AJ$20))+'scenario 1'!H163</f>
        <v>177540017.36164606</v>
      </c>
      <c r="I163" s="214">
        <f>30*((I157*$AJ$17)+(I158*$AJ$18)+(I159*$AJ$19)+(I160*$AJ$20))+'scenario 1'!I163</f>
        <v>177540017.36164606</v>
      </c>
      <c r="J163" s="214">
        <f>30*((J157*$AJ$17)+(J158*$AJ$18)+(J159*$AJ$19)+(J160*$AJ$20))+'scenario 1'!J163</f>
        <v>177540017.36164606</v>
      </c>
      <c r="K163" s="214">
        <f>30*((K157*$AJ$17)+(K158*$AJ$18)+(K159*$AJ$19)+(K160*$AJ$20))+'scenario 1'!K163</f>
        <v>177540017.36164606</v>
      </c>
      <c r="L163" s="214">
        <f>30*((L157*$AJ$17)+(L158*$AJ$18)+(L159*$AJ$19)+(L160*$AJ$20))+'scenario 1'!L163</f>
        <v>177540017.36164606</v>
      </c>
      <c r="M163" s="214">
        <f>30*((M157*$AJ$17)+(M158*$AJ$18)+(M159*$AJ$19)+(M160*$AJ$20))+'scenario 1'!M163</f>
        <v>177540017.36164606</v>
      </c>
      <c r="N163" s="214">
        <f>30*((N157*$AJ$17)+(N158*$AJ$18)+(N159*$AJ$19)+(N160*$AJ$20))+'scenario 1'!N163</f>
        <v>177540017.36164606</v>
      </c>
      <c r="O163" s="214">
        <f>SUM(B163:N163)</f>
        <v>2500187043.0453515</v>
      </c>
      <c r="P163" s="164"/>
      <c r="Q163" s="168"/>
      <c r="R163" s="147"/>
      <c r="S163" s="168"/>
      <c r="T163" s="168"/>
      <c r="U163" s="168"/>
      <c r="V163" s="168"/>
      <c r="W163" s="168"/>
      <c r="X163" s="168"/>
      <c r="Y163" s="168"/>
      <c r="Z163" s="168"/>
      <c r="AA163" s="168"/>
      <c r="AB163" s="168"/>
      <c r="AC163" s="168"/>
      <c r="AD163" s="151"/>
      <c r="AE163" s="168"/>
      <c r="AF163" s="168"/>
      <c r="AG163" s="168"/>
      <c r="AH163" s="151"/>
      <c r="AI163" s="168"/>
      <c r="AJ163" s="168"/>
      <c r="AK163" s="168"/>
      <c r="AL163" s="168"/>
      <c r="AM163" s="168"/>
      <c r="AN163" s="168"/>
      <c r="AO163" s="168"/>
      <c r="AP163" s="168"/>
      <c r="AQ163" s="168"/>
      <c r="AR163" s="168"/>
      <c r="AS163" s="168"/>
      <c r="AT163" s="168"/>
      <c r="AU163" s="168"/>
      <c r="AV163" s="168"/>
      <c r="AW163" s="168"/>
      <c r="AX163" s="168"/>
      <c r="AY163" s="168"/>
      <c r="AZ163" s="168"/>
      <c r="BA163" s="168"/>
      <c r="BB163" s="168"/>
      <c r="BC163" s="168"/>
      <c r="BD163" s="168"/>
      <c r="BE163" s="168"/>
      <c r="BF163" s="168"/>
      <c r="BG163" s="168"/>
      <c r="BH163" s="168"/>
      <c r="BI163" s="168"/>
      <c r="BJ163" s="168"/>
      <c r="BK163" s="168"/>
      <c r="BL163" s="168"/>
      <c r="BM163" s="168"/>
      <c r="BN163" s="168"/>
      <c r="BO163" s="168"/>
      <c r="BP163" s="168"/>
      <c r="BQ163" s="168"/>
      <c r="BR163" s="168"/>
    </row>
    <row r="164" spans="1:70" s="157" customFormat="1" ht="15" thickBot="1" x14ac:dyDescent="0.4">
      <c r="A164" s="193" t="s">
        <v>113</v>
      </c>
      <c r="B164" s="214">
        <f t="shared" ref="B164" si="257">B163/1000</f>
        <v>215973.38083043648</v>
      </c>
      <c r="C164" s="214">
        <f t="shared" ref="C164" si="258">C163/1000</f>
        <v>215973.38083043648</v>
      </c>
      <c r="D164" s="214">
        <f t="shared" ref="D164" si="259">D163/1000</f>
        <v>215973.38083043648</v>
      </c>
      <c r="E164" s="214">
        <f t="shared" ref="E164" si="260">E163/1000</f>
        <v>215973.38083043648</v>
      </c>
      <c r="F164" s="214">
        <f t="shared" ref="F164" si="261">F163/1000</f>
        <v>215973.38083043648</v>
      </c>
      <c r="G164" s="214">
        <f t="shared" ref="G164" si="262">G163/1000</f>
        <v>177540.01736164605</v>
      </c>
      <c r="H164" s="214">
        <f t="shared" ref="H164" si="263">H163/1000</f>
        <v>177540.01736164605</v>
      </c>
      <c r="I164" s="214">
        <f t="shared" ref="I164" si="264">I163/1000</f>
        <v>177540.01736164605</v>
      </c>
      <c r="J164" s="214">
        <f t="shared" ref="J164" si="265">J163/1000</f>
        <v>177540.01736164605</v>
      </c>
      <c r="K164" s="214">
        <f t="shared" ref="K164" si="266">K163/1000</f>
        <v>177540.01736164605</v>
      </c>
      <c r="L164" s="214">
        <f t="shared" ref="L164" si="267">L163/1000</f>
        <v>177540.01736164605</v>
      </c>
      <c r="M164" s="214">
        <f t="shared" ref="M164" si="268">M163/1000</f>
        <v>177540.01736164605</v>
      </c>
      <c r="N164" s="214">
        <f t="shared" ref="N164" si="269">N163/1000</f>
        <v>177540.01736164605</v>
      </c>
      <c r="O164" s="214">
        <f t="shared" ref="O164" si="270">O163/1000</f>
        <v>2500187.0430453513</v>
      </c>
      <c r="P164" s="164"/>
      <c r="Q164" s="168"/>
      <c r="R164" s="147"/>
      <c r="S164" s="168"/>
      <c r="T164" s="168"/>
      <c r="U164" s="168"/>
      <c r="V164" s="168"/>
      <c r="W164" s="168"/>
      <c r="X164" s="168"/>
      <c r="Y164" s="168"/>
      <c r="Z164" s="168"/>
      <c r="AA164" s="168"/>
      <c r="AB164" s="168"/>
      <c r="AC164" s="168"/>
      <c r="AD164" s="151"/>
      <c r="AE164" s="168"/>
      <c r="AF164" s="168"/>
      <c r="AG164" s="168"/>
      <c r="AH164" s="151"/>
      <c r="AI164" s="168"/>
      <c r="AJ164" s="168"/>
      <c r="AK164" s="168"/>
      <c r="AL164" s="168"/>
      <c r="AM164" s="168"/>
      <c r="AN164" s="168"/>
      <c r="AO164" s="168"/>
      <c r="AP164" s="168"/>
      <c r="AQ164" s="168"/>
      <c r="AR164" s="168"/>
      <c r="AS164" s="168"/>
      <c r="AT164" s="168"/>
      <c r="AU164" s="168"/>
      <c r="AV164" s="168"/>
      <c r="AW164" s="168"/>
      <c r="AX164" s="168"/>
      <c r="AY164" s="168"/>
      <c r="AZ164" s="168"/>
      <c r="BA164" s="168"/>
      <c r="BB164" s="168"/>
      <c r="BC164" s="168"/>
      <c r="BD164" s="168"/>
      <c r="BE164" s="168"/>
      <c r="BF164" s="168"/>
      <c r="BG164" s="168"/>
      <c r="BH164" s="168"/>
      <c r="BI164" s="168"/>
      <c r="BJ164" s="168"/>
      <c r="BK164" s="168"/>
      <c r="BL164" s="168"/>
      <c r="BM164" s="168"/>
      <c r="BN164" s="168"/>
      <c r="BO164" s="168"/>
      <c r="BP164" s="168"/>
      <c r="BQ164" s="168"/>
      <c r="BR164" s="168"/>
    </row>
    <row r="165" spans="1:70" s="152" customFormat="1" x14ac:dyDescent="0.35">
      <c r="A165" s="193" t="s">
        <v>64</v>
      </c>
      <c r="B165" s="215">
        <f>B164*$AB$3</f>
        <v>43194676.1660873</v>
      </c>
      <c r="C165" s="215">
        <f t="shared" ref="C165" si="271">C164*$AB$3</f>
        <v>43194676.1660873</v>
      </c>
      <c r="D165" s="215">
        <f t="shared" ref="D165" si="272">D164*$AB$3</f>
        <v>43194676.1660873</v>
      </c>
      <c r="E165" s="215">
        <f t="shared" ref="E165" si="273">E164*$AB$3</f>
        <v>43194676.1660873</v>
      </c>
      <c r="F165" s="215">
        <f t="shared" ref="F165" si="274">F164*$AB$3</f>
        <v>43194676.1660873</v>
      </c>
      <c r="G165" s="215">
        <f t="shared" ref="G165" si="275">G164*$AB$3</f>
        <v>35508003.472329214</v>
      </c>
      <c r="H165" s="215">
        <f t="shared" ref="H165" si="276">H164*$AB$3</f>
        <v>35508003.472329214</v>
      </c>
      <c r="I165" s="215">
        <f t="shared" ref="I165" si="277">I164*$AB$3</f>
        <v>35508003.472329214</v>
      </c>
      <c r="J165" s="215">
        <f t="shared" ref="J165" si="278">J164*$AB$3</f>
        <v>35508003.472329214</v>
      </c>
      <c r="K165" s="215">
        <f t="shared" ref="K165" si="279">K164*$AB$3</f>
        <v>35508003.472329214</v>
      </c>
      <c r="L165" s="215">
        <f t="shared" ref="L165" si="280">L164*$AB$3</f>
        <v>35508003.472329214</v>
      </c>
      <c r="M165" s="215">
        <f t="shared" ref="M165" si="281">M164*$AB$3</f>
        <v>35508003.472329214</v>
      </c>
      <c r="N165" s="215">
        <f t="shared" ref="N165" si="282">N164*$AB$3</f>
        <v>35508003.472329214</v>
      </c>
      <c r="O165" s="215">
        <f t="shared" ref="O165" si="283">O164*$AB$3</f>
        <v>500037408.60907024</v>
      </c>
      <c r="P165" s="159"/>
      <c r="Q165" s="168"/>
      <c r="R165" s="147"/>
      <c r="S165" s="168"/>
      <c r="T165" s="168"/>
      <c r="U165" s="168"/>
      <c r="V165" s="168"/>
      <c r="W165" s="168"/>
      <c r="X165" s="168"/>
      <c r="Y165" s="168"/>
      <c r="Z165" s="168"/>
      <c r="AA165" s="168"/>
      <c r="AB165" s="168"/>
      <c r="AC165" s="168"/>
      <c r="AD165" s="151"/>
      <c r="AE165" s="168"/>
      <c r="AF165" s="168"/>
      <c r="AG165" s="168"/>
      <c r="AH165" s="151"/>
      <c r="AI165" s="168"/>
      <c r="AJ165" s="168"/>
      <c r="AK165" s="168"/>
      <c r="AL165" s="168"/>
      <c r="AM165" s="168"/>
      <c r="AN165" s="168"/>
      <c r="AO165" s="168"/>
      <c r="AP165" s="168"/>
      <c r="AQ165" s="168"/>
      <c r="AR165" s="168"/>
      <c r="AS165" s="168"/>
      <c r="AT165" s="168"/>
      <c r="AU165" s="168"/>
      <c r="AV165" s="168"/>
      <c r="AW165" s="168"/>
      <c r="AX165" s="168"/>
      <c r="AY165" s="168"/>
      <c r="AZ165" s="168"/>
      <c r="BA165" s="168"/>
      <c r="BB165" s="168"/>
      <c r="BC165" s="168"/>
      <c r="BD165" s="168"/>
      <c r="BE165" s="168"/>
      <c r="BF165" s="168"/>
      <c r="BG165" s="168"/>
      <c r="BH165" s="168"/>
      <c r="BI165" s="168"/>
      <c r="BJ165" s="168"/>
      <c r="BK165" s="168"/>
      <c r="BL165" s="168"/>
      <c r="BM165" s="168"/>
      <c r="BN165" s="168"/>
      <c r="BO165" s="168"/>
      <c r="BP165" s="168"/>
      <c r="BQ165" s="168"/>
      <c r="BR165" s="168"/>
    </row>
    <row r="166" spans="1:70" s="152" customFormat="1" x14ac:dyDescent="0.35">
      <c r="A166" s="193"/>
      <c r="B166" s="214"/>
      <c r="C166" s="194"/>
      <c r="D166" s="194"/>
      <c r="E166" s="194"/>
      <c r="F166" s="194"/>
      <c r="G166" s="214"/>
      <c r="H166" s="194"/>
      <c r="I166" s="194"/>
      <c r="J166" s="194"/>
      <c r="K166" s="194"/>
      <c r="L166" s="194"/>
      <c r="M166" s="194"/>
      <c r="N166" s="194"/>
      <c r="O166" s="194"/>
      <c r="P166" s="159"/>
      <c r="Q166" s="168"/>
      <c r="R166" s="147"/>
      <c r="S166" s="168"/>
      <c r="T166" s="168"/>
      <c r="U166" s="168"/>
      <c r="V166" s="168"/>
      <c r="W166" s="168"/>
      <c r="X166" s="168"/>
      <c r="Y166" s="168"/>
      <c r="Z166" s="168"/>
      <c r="AA166" s="168"/>
      <c r="AB166" s="168"/>
      <c r="AC166" s="168"/>
      <c r="AD166" s="151"/>
      <c r="AE166" s="168"/>
      <c r="AF166" s="168"/>
      <c r="AG166" s="168"/>
      <c r="AH166" s="151"/>
      <c r="AI166" s="168"/>
      <c r="AJ166" s="168"/>
      <c r="AK166" s="168"/>
      <c r="AL166" s="168"/>
      <c r="AM166" s="168"/>
      <c r="AN166" s="168"/>
      <c r="AO166" s="168"/>
      <c r="AP166" s="168"/>
      <c r="AQ166" s="168"/>
      <c r="AR166" s="168"/>
      <c r="AS166" s="168"/>
      <c r="AT166" s="168"/>
      <c r="AU166" s="168"/>
      <c r="AV166" s="168"/>
      <c r="AW166" s="168"/>
      <c r="AX166" s="168"/>
      <c r="AY166" s="168"/>
      <c r="AZ166" s="168"/>
      <c r="BA166" s="168"/>
      <c r="BB166" s="168"/>
      <c r="BC166" s="168"/>
      <c r="BD166" s="168"/>
      <c r="BE166" s="168"/>
      <c r="BF166" s="168"/>
      <c r="BG166" s="168"/>
      <c r="BH166" s="168"/>
      <c r="BI166" s="168"/>
      <c r="BJ166" s="168"/>
      <c r="BK166" s="168"/>
      <c r="BL166" s="168"/>
      <c r="BM166" s="168"/>
      <c r="BN166" s="168"/>
      <c r="BO166" s="168"/>
      <c r="BP166" s="168"/>
      <c r="BQ166" s="168"/>
      <c r="BR166" s="168"/>
    </row>
    <row r="167" spans="1:70" s="152" customFormat="1" ht="15" thickBot="1" x14ac:dyDescent="0.4">
      <c r="A167" s="197"/>
      <c r="B167" s="216"/>
      <c r="C167" s="198"/>
      <c r="D167" s="198"/>
      <c r="E167" s="198"/>
      <c r="F167" s="198"/>
      <c r="G167" s="216"/>
      <c r="H167" s="198"/>
      <c r="I167" s="198"/>
      <c r="J167" s="198"/>
      <c r="K167" s="198"/>
      <c r="L167" s="198"/>
      <c r="M167" s="198"/>
      <c r="N167" s="198"/>
      <c r="O167" s="198"/>
      <c r="P167" s="159"/>
      <c r="Q167" s="168"/>
      <c r="R167" s="147"/>
      <c r="S167" s="168"/>
      <c r="T167" s="168"/>
      <c r="U167" s="168"/>
      <c r="V167" s="168"/>
      <c r="W167" s="168"/>
      <c r="X167" s="168"/>
      <c r="Y167" s="168"/>
      <c r="Z167" s="168"/>
      <c r="AA167" s="168"/>
      <c r="AB167" s="168"/>
      <c r="AC167" s="168"/>
      <c r="AD167" s="151"/>
      <c r="AE167" s="168"/>
      <c r="AF167" s="168"/>
      <c r="AG167" s="168"/>
      <c r="AH167" s="151"/>
      <c r="AI167" s="168"/>
      <c r="AJ167" s="168"/>
      <c r="AK167" s="168"/>
      <c r="AL167" s="168"/>
      <c r="AM167" s="168"/>
      <c r="AN167" s="168"/>
      <c r="AO167" s="168"/>
      <c r="AP167" s="168"/>
      <c r="AQ167" s="168"/>
      <c r="AR167" s="168"/>
      <c r="AS167" s="168"/>
      <c r="AT167" s="168"/>
      <c r="AU167" s="168"/>
      <c r="AV167" s="168"/>
      <c r="AW167" s="168"/>
      <c r="AX167" s="168"/>
      <c r="AY167" s="168"/>
      <c r="AZ167" s="168"/>
      <c r="BA167" s="168"/>
      <c r="BB167" s="168"/>
      <c r="BC167" s="168"/>
      <c r="BD167" s="168"/>
      <c r="BE167" s="168"/>
      <c r="BF167" s="168"/>
      <c r="BG167" s="168"/>
      <c r="BH167" s="168"/>
      <c r="BI167" s="168"/>
      <c r="BJ167" s="168"/>
      <c r="BK167" s="168"/>
      <c r="BL167" s="168"/>
      <c r="BM167" s="168"/>
      <c r="BN167" s="168"/>
      <c r="BO167" s="168"/>
      <c r="BP167" s="168"/>
      <c r="BQ167" s="168"/>
      <c r="BR167" s="168"/>
    </row>
    <row r="168" spans="1:70" s="152" customFormat="1" x14ac:dyDescent="0.35">
      <c r="A168" s="253"/>
      <c r="B168" s="262"/>
      <c r="C168" s="253"/>
      <c r="D168" s="253"/>
      <c r="E168" s="253"/>
      <c r="F168" s="253"/>
      <c r="G168" s="262"/>
      <c r="H168" s="253"/>
      <c r="I168" s="253"/>
      <c r="J168" s="253"/>
      <c r="K168" s="253"/>
      <c r="L168" s="253"/>
      <c r="M168" s="253"/>
      <c r="N168" s="253"/>
      <c r="O168" s="253"/>
      <c r="P168" s="160"/>
      <c r="Q168" s="168"/>
      <c r="R168" s="147"/>
      <c r="S168" s="168"/>
      <c r="T168" s="168"/>
      <c r="U168" s="168"/>
      <c r="V168" s="168"/>
      <c r="W168" s="168"/>
      <c r="X168" s="168"/>
      <c r="Y168" s="168"/>
      <c r="Z168" s="168"/>
      <c r="AA168" s="168"/>
      <c r="AB168" s="168"/>
      <c r="AC168" s="168"/>
      <c r="AD168" s="151"/>
      <c r="AE168" s="168"/>
      <c r="AF168" s="168"/>
      <c r="AG168" s="168"/>
      <c r="AH168" s="151"/>
      <c r="AI168" s="168"/>
      <c r="AJ168" s="168"/>
      <c r="AK168" s="168"/>
      <c r="AL168" s="168"/>
      <c r="AM168" s="168"/>
      <c r="AN168" s="168"/>
      <c r="AO168" s="168"/>
      <c r="AP168" s="168"/>
      <c r="AQ168" s="168"/>
      <c r="AR168" s="168"/>
      <c r="AS168" s="168"/>
      <c r="AT168" s="168"/>
      <c r="AU168" s="168"/>
      <c r="AV168" s="168"/>
      <c r="AW168" s="168"/>
      <c r="AX168" s="168"/>
      <c r="AY168" s="168"/>
      <c r="AZ168" s="168"/>
      <c r="BA168" s="168"/>
      <c r="BB168" s="168"/>
      <c r="BC168" s="168"/>
      <c r="BD168" s="168"/>
      <c r="BE168" s="168"/>
      <c r="BF168" s="168"/>
      <c r="BG168" s="168"/>
      <c r="BH168" s="168"/>
      <c r="BI168" s="168"/>
      <c r="BJ168" s="168"/>
      <c r="BK168" s="168"/>
      <c r="BL168" s="168"/>
      <c r="BM168" s="168"/>
      <c r="BN168" s="168"/>
      <c r="BO168" s="168"/>
      <c r="BP168" s="168"/>
      <c r="BQ168" s="168"/>
      <c r="BR168" s="168"/>
    </row>
    <row r="169" spans="1:70" s="152" customFormat="1" x14ac:dyDescent="0.35">
      <c r="A169" s="253"/>
      <c r="B169" s="262"/>
      <c r="C169" s="253"/>
      <c r="D169" s="253"/>
      <c r="E169" s="253"/>
      <c r="F169" s="253"/>
      <c r="G169" s="262"/>
      <c r="H169" s="253"/>
      <c r="I169" s="253"/>
      <c r="J169" s="253"/>
      <c r="K169" s="253"/>
      <c r="L169" s="253"/>
      <c r="M169" s="253"/>
      <c r="N169" s="253"/>
      <c r="O169" s="253"/>
      <c r="P169" s="159"/>
      <c r="Q169" s="168"/>
      <c r="R169" s="147"/>
      <c r="S169" s="168"/>
      <c r="T169" s="168"/>
      <c r="U169" s="168"/>
      <c r="V169" s="168"/>
      <c r="W169" s="168"/>
      <c r="X169" s="168"/>
      <c r="Y169" s="168"/>
      <c r="Z169" s="168"/>
      <c r="AA169" s="168"/>
      <c r="AB169" s="168"/>
      <c r="AC169" s="168"/>
      <c r="AD169" s="151"/>
      <c r="AE169" s="168"/>
      <c r="AF169" s="168"/>
      <c r="AG169" s="168"/>
      <c r="AH169" s="151"/>
      <c r="AI169" s="168"/>
      <c r="AJ169" s="168"/>
      <c r="AK169" s="168"/>
      <c r="AL169" s="168"/>
      <c r="AM169" s="168"/>
      <c r="AN169" s="168"/>
      <c r="AO169" s="168"/>
      <c r="AP169" s="168"/>
      <c r="AQ169" s="168"/>
      <c r="AR169" s="168"/>
      <c r="AS169" s="168"/>
      <c r="AT169" s="168"/>
      <c r="AU169" s="168"/>
      <c r="AV169" s="168"/>
      <c r="AW169" s="168"/>
      <c r="AX169" s="168"/>
      <c r="AY169" s="168"/>
      <c r="AZ169" s="168"/>
      <c r="BA169" s="168"/>
      <c r="BB169" s="168"/>
      <c r="BC169" s="168"/>
      <c r="BD169" s="168"/>
      <c r="BE169" s="168"/>
      <c r="BF169" s="168"/>
      <c r="BG169" s="168"/>
      <c r="BH169" s="168"/>
      <c r="BI169" s="168"/>
      <c r="BJ169" s="168"/>
      <c r="BK169" s="168"/>
      <c r="BL169" s="168"/>
      <c r="BM169" s="168"/>
      <c r="BN169" s="168"/>
      <c r="BO169" s="168"/>
      <c r="BP169" s="168"/>
      <c r="BQ169" s="168"/>
      <c r="BR169" s="168"/>
    </row>
    <row r="170" spans="1:70" s="152" customFormat="1" x14ac:dyDescent="0.35">
      <c r="A170" s="263" t="s">
        <v>0</v>
      </c>
      <c r="B170" s="252" t="s">
        <v>7</v>
      </c>
      <c r="C170" s="252" t="s">
        <v>8</v>
      </c>
      <c r="D170" s="252" t="s">
        <v>9</v>
      </c>
      <c r="E170" s="252" t="s">
        <v>10</v>
      </c>
      <c r="F170" s="252" t="s">
        <v>11</v>
      </c>
      <c r="G170" s="252" t="s">
        <v>12</v>
      </c>
      <c r="H170" s="252" t="s">
        <v>13</v>
      </c>
      <c r="I170" s="252" t="s">
        <v>14</v>
      </c>
      <c r="J170" s="252" t="s">
        <v>15</v>
      </c>
      <c r="K170" s="252" t="s">
        <v>16</v>
      </c>
      <c r="L170" s="264" t="s">
        <v>17</v>
      </c>
      <c r="M170" s="265" t="s">
        <v>23</v>
      </c>
      <c r="N170" s="265" t="s">
        <v>24</v>
      </c>
      <c r="O170" s="266" t="s">
        <v>18</v>
      </c>
      <c r="P170" s="159"/>
      <c r="Q170" s="168"/>
      <c r="R170" s="147"/>
      <c r="S170" s="168"/>
      <c r="T170" s="168"/>
      <c r="U170" s="168"/>
      <c r="V170" s="168"/>
      <c r="W170" s="168"/>
      <c r="X170" s="168"/>
      <c r="Y170" s="168"/>
      <c r="Z170" s="168"/>
      <c r="AA170" s="168"/>
      <c r="AB170" s="168"/>
      <c r="AC170" s="168"/>
      <c r="AD170" s="151"/>
      <c r="AE170" s="168"/>
      <c r="AF170" s="168"/>
      <c r="AG170" s="168"/>
      <c r="AH170" s="151"/>
      <c r="AI170" s="168"/>
      <c r="AJ170" s="168"/>
      <c r="AK170" s="168"/>
      <c r="AL170" s="168"/>
      <c r="AM170" s="168"/>
      <c r="AN170" s="168"/>
      <c r="AO170" s="168"/>
      <c r="AP170" s="168"/>
      <c r="AQ170" s="168"/>
      <c r="AR170" s="168"/>
      <c r="AS170" s="168"/>
      <c r="AT170" s="168"/>
      <c r="AU170" s="168"/>
      <c r="AV170" s="168"/>
      <c r="AW170" s="168"/>
      <c r="AX170" s="168"/>
      <c r="AY170" s="168"/>
      <c r="AZ170" s="168"/>
      <c r="BA170" s="168"/>
      <c r="BB170" s="168"/>
      <c r="BC170" s="168"/>
      <c r="BD170" s="168"/>
      <c r="BE170" s="168"/>
      <c r="BF170" s="168"/>
      <c r="BG170" s="168"/>
      <c r="BH170" s="168"/>
      <c r="BI170" s="168"/>
      <c r="BJ170" s="168"/>
      <c r="BK170" s="168"/>
      <c r="BL170" s="168"/>
      <c r="BM170" s="168"/>
      <c r="BN170" s="168"/>
      <c r="BO170" s="168"/>
      <c r="BP170" s="168"/>
      <c r="BQ170" s="168"/>
      <c r="BR170" s="168"/>
    </row>
    <row r="171" spans="1:70" s="152" customFormat="1" x14ac:dyDescent="0.35">
      <c r="A171" s="253"/>
      <c r="B171" s="259"/>
      <c r="C171" s="259"/>
      <c r="D171" s="259"/>
      <c r="E171" s="259"/>
      <c r="F171" s="259"/>
      <c r="G171" s="259"/>
      <c r="H171" s="259"/>
      <c r="I171" s="259"/>
      <c r="J171" s="259"/>
      <c r="K171" s="259"/>
      <c r="L171" s="259"/>
      <c r="M171" s="259"/>
      <c r="N171" s="267"/>
      <c r="O171" s="267"/>
      <c r="P171" s="159"/>
      <c r="Q171" s="168"/>
      <c r="R171" s="147"/>
      <c r="S171" s="168"/>
      <c r="T171" s="168"/>
      <c r="U171" s="168"/>
      <c r="V171" s="168"/>
      <c r="W171" s="168"/>
      <c r="X171" s="168"/>
      <c r="Y171" s="168"/>
      <c r="Z171" s="168"/>
      <c r="AA171" s="168"/>
      <c r="AB171" s="168"/>
      <c r="AC171" s="168"/>
      <c r="AD171" s="151"/>
      <c r="AE171" s="168"/>
      <c r="AF171" s="168"/>
      <c r="AG171" s="168"/>
      <c r="AH171" s="151"/>
      <c r="AI171" s="168"/>
      <c r="AJ171" s="168"/>
      <c r="AK171" s="168"/>
      <c r="AL171" s="168"/>
      <c r="AM171" s="168"/>
      <c r="AN171" s="168"/>
      <c r="AO171" s="168"/>
      <c r="AP171" s="168"/>
      <c r="AQ171" s="168"/>
      <c r="AR171" s="168"/>
      <c r="AS171" s="168"/>
      <c r="AT171" s="168"/>
      <c r="AU171" s="168"/>
      <c r="AV171" s="168"/>
      <c r="AW171" s="168"/>
      <c r="AX171" s="168"/>
      <c r="AY171" s="168"/>
      <c r="AZ171" s="168"/>
      <c r="BA171" s="168"/>
      <c r="BB171" s="168"/>
      <c r="BC171" s="168"/>
      <c r="BD171" s="168"/>
      <c r="BE171" s="168"/>
      <c r="BF171" s="168"/>
      <c r="BG171" s="168"/>
      <c r="BH171" s="168"/>
      <c r="BI171" s="168"/>
      <c r="BJ171" s="168"/>
      <c r="BK171" s="168"/>
      <c r="BL171" s="168"/>
      <c r="BM171" s="168"/>
      <c r="BN171" s="168"/>
      <c r="BO171" s="168"/>
      <c r="BP171" s="168"/>
      <c r="BQ171" s="168"/>
      <c r="BR171" s="168"/>
    </row>
    <row r="172" spans="1:70" s="158" customFormat="1" x14ac:dyDescent="0.35">
      <c r="A172" s="268" t="s">
        <v>20</v>
      </c>
      <c r="B172" s="269"/>
      <c r="C172" s="254"/>
      <c r="D172" s="254"/>
      <c r="E172" s="254"/>
      <c r="F172" s="254"/>
      <c r="G172" s="269"/>
      <c r="H172" s="254"/>
      <c r="I172" s="254"/>
      <c r="J172" s="254"/>
      <c r="K172" s="254"/>
      <c r="L172" s="254"/>
      <c r="M172" s="254"/>
      <c r="N172" s="254"/>
      <c r="O172" s="254"/>
      <c r="P172" s="167"/>
      <c r="Q172" s="168"/>
      <c r="R172" s="147"/>
      <c r="S172" s="168"/>
      <c r="T172" s="168"/>
      <c r="U172" s="168"/>
      <c r="V172" s="168"/>
      <c r="W172" s="168"/>
      <c r="X172" s="168"/>
      <c r="Y172" s="168"/>
      <c r="Z172" s="168"/>
      <c r="AA172" s="168"/>
      <c r="AB172" s="168"/>
      <c r="AC172" s="168"/>
      <c r="AD172" s="151"/>
      <c r="AE172" s="168"/>
      <c r="AF172" s="168"/>
      <c r="AG172" s="168"/>
      <c r="AH172" s="151"/>
      <c r="AI172" s="168"/>
      <c r="AJ172" s="168"/>
      <c r="AK172" s="168"/>
      <c r="AL172" s="168"/>
      <c r="AM172" s="168"/>
      <c r="AN172" s="168"/>
      <c r="AO172" s="168"/>
      <c r="AP172" s="168"/>
      <c r="AQ172" s="168"/>
      <c r="AR172" s="168"/>
      <c r="AS172" s="168"/>
      <c r="AT172" s="168"/>
      <c r="AU172" s="168"/>
      <c r="AV172" s="168"/>
      <c r="AW172" s="168"/>
      <c r="AX172" s="168"/>
      <c r="AY172" s="168"/>
      <c r="AZ172" s="168"/>
      <c r="BA172" s="168"/>
      <c r="BB172" s="168"/>
      <c r="BC172" s="168"/>
      <c r="BD172" s="168"/>
      <c r="BE172" s="168"/>
      <c r="BF172" s="168"/>
      <c r="BG172" s="168"/>
      <c r="BH172" s="168"/>
      <c r="BI172" s="168"/>
      <c r="BJ172" s="168"/>
      <c r="BK172" s="168"/>
      <c r="BL172" s="168"/>
      <c r="BM172" s="168"/>
      <c r="BN172" s="168"/>
      <c r="BO172" s="168"/>
      <c r="BP172" s="168"/>
      <c r="BQ172" s="168"/>
      <c r="BR172" s="168"/>
    </row>
    <row r="173" spans="1:70" s="152" customFormat="1" ht="15" thickBot="1" x14ac:dyDescent="0.4">
      <c r="A173" s="268" t="s">
        <v>21</v>
      </c>
      <c r="B173" s="269"/>
      <c r="C173" s="254"/>
      <c r="D173" s="254"/>
      <c r="E173" s="254"/>
      <c r="F173" s="254"/>
      <c r="G173" s="269"/>
      <c r="H173" s="254"/>
      <c r="I173" s="254"/>
      <c r="J173" s="254"/>
      <c r="K173" s="254"/>
      <c r="L173" s="254"/>
      <c r="M173" s="254"/>
      <c r="N173" s="254"/>
      <c r="O173" s="254"/>
      <c r="P173" s="159"/>
      <c r="Q173" s="168"/>
      <c r="R173" s="147"/>
      <c r="S173" s="168"/>
      <c r="T173" s="168"/>
      <c r="U173" s="168"/>
      <c r="V173" s="168"/>
      <c r="W173" s="168"/>
      <c r="X173" s="168"/>
      <c r="Y173" s="168"/>
      <c r="Z173" s="168"/>
      <c r="AA173" s="168"/>
      <c r="AB173" s="168"/>
      <c r="AC173" s="168"/>
      <c r="AD173" s="151"/>
      <c r="AE173" s="168"/>
      <c r="AF173" s="168"/>
      <c r="AG173" s="168"/>
      <c r="AH173" s="151"/>
      <c r="AI173" s="168"/>
      <c r="AJ173" s="168"/>
      <c r="AK173" s="168"/>
      <c r="AL173" s="168"/>
      <c r="AM173" s="168"/>
      <c r="AN173" s="168"/>
      <c r="AO173" s="168"/>
      <c r="AP173" s="168"/>
      <c r="AQ173" s="168"/>
      <c r="AR173" s="168"/>
      <c r="AS173" s="168"/>
      <c r="AT173" s="168"/>
      <c r="AU173" s="168"/>
      <c r="AV173" s="168"/>
      <c r="AW173" s="168"/>
      <c r="AX173" s="168"/>
      <c r="AY173" s="168"/>
      <c r="AZ173" s="168"/>
      <c r="BA173" s="168"/>
      <c r="BB173" s="168"/>
      <c r="BC173" s="168"/>
      <c r="BD173" s="168"/>
      <c r="BE173" s="168"/>
      <c r="BF173" s="168"/>
      <c r="BG173" s="168"/>
      <c r="BH173" s="168"/>
      <c r="BI173" s="168"/>
      <c r="BJ173" s="168"/>
      <c r="BK173" s="168"/>
      <c r="BL173" s="168"/>
      <c r="BM173" s="168"/>
      <c r="BN173" s="168"/>
      <c r="BO173" s="168"/>
      <c r="BP173" s="168"/>
      <c r="BQ173" s="168"/>
      <c r="BR173" s="168"/>
    </row>
    <row r="174" spans="1:70" s="156" customFormat="1" x14ac:dyDescent="0.35">
      <c r="A174" s="268" t="s">
        <v>26</v>
      </c>
      <c r="B174" s="270"/>
      <c r="C174" s="260"/>
      <c r="D174" s="260"/>
      <c r="E174" s="260"/>
      <c r="F174" s="260"/>
      <c r="G174" s="270"/>
      <c r="H174" s="260"/>
      <c r="I174" s="260"/>
      <c r="J174" s="260"/>
      <c r="K174" s="260"/>
      <c r="L174" s="260"/>
      <c r="M174" s="260"/>
      <c r="N174" s="260"/>
      <c r="O174" s="260"/>
      <c r="P174" s="161"/>
      <c r="Q174" s="168"/>
      <c r="R174" s="147"/>
      <c r="S174" s="168"/>
      <c r="T174" s="168"/>
      <c r="U174" s="168"/>
      <c r="V174" s="168"/>
      <c r="W174" s="168"/>
      <c r="X174" s="168"/>
      <c r="Y174" s="168"/>
      <c r="Z174" s="168"/>
      <c r="AA174" s="168"/>
      <c r="AB174" s="168"/>
      <c r="AC174" s="168"/>
      <c r="AD174" s="151"/>
      <c r="AE174" s="168"/>
      <c r="AF174" s="168"/>
      <c r="AG174" s="168"/>
      <c r="AH174" s="151"/>
      <c r="AI174" s="168"/>
      <c r="AJ174" s="168"/>
      <c r="AK174" s="168"/>
      <c r="AL174" s="168"/>
      <c r="AM174" s="168"/>
      <c r="AN174" s="168"/>
      <c r="AO174" s="168"/>
      <c r="AP174" s="168"/>
      <c r="AQ174" s="168"/>
      <c r="AR174" s="168"/>
      <c r="AS174" s="168"/>
      <c r="AT174" s="168"/>
      <c r="AU174" s="168"/>
      <c r="AV174" s="168"/>
      <c r="AW174" s="168"/>
      <c r="AX174" s="168"/>
      <c r="AY174" s="168"/>
      <c r="AZ174" s="168"/>
      <c r="BA174" s="168"/>
      <c r="BB174" s="168"/>
      <c r="BC174" s="168"/>
      <c r="BD174" s="168"/>
      <c r="BE174" s="168"/>
      <c r="BF174" s="168"/>
      <c r="BG174" s="168"/>
      <c r="BH174" s="168"/>
      <c r="BI174" s="168"/>
      <c r="BJ174" s="168"/>
      <c r="BK174" s="168"/>
      <c r="BL174" s="168"/>
      <c r="BM174" s="168"/>
      <c r="BN174" s="168"/>
      <c r="BO174" s="168"/>
      <c r="BP174" s="168"/>
      <c r="BQ174" s="168"/>
      <c r="BR174" s="168"/>
    </row>
    <row r="175" spans="1:70" s="155" customFormat="1" x14ac:dyDescent="0.35">
      <c r="A175" s="267" t="s">
        <v>22</v>
      </c>
      <c r="B175" s="269"/>
      <c r="C175" s="254"/>
      <c r="D175" s="254"/>
      <c r="E175" s="254"/>
      <c r="F175" s="254"/>
      <c r="G175" s="269"/>
      <c r="H175" s="254"/>
      <c r="I175" s="254"/>
      <c r="J175" s="254"/>
      <c r="K175" s="254"/>
      <c r="L175" s="254"/>
      <c r="M175" s="254"/>
      <c r="N175" s="254"/>
      <c r="O175" s="254"/>
      <c r="P175" s="162"/>
      <c r="Q175" s="168"/>
      <c r="R175" s="147"/>
      <c r="S175" s="168"/>
      <c r="T175" s="168"/>
      <c r="U175" s="168"/>
      <c r="V175" s="168"/>
      <c r="W175" s="168"/>
      <c r="X175" s="168"/>
      <c r="Y175" s="168"/>
      <c r="Z175" s="168"/>
      <c r="AA175" s="168"/>
      <c r="AB175" s="168"/>
      <c r="AC175" s="168"/>
      <c r="AD175" s="151"/>
      <c r="AE175" s="168"/>
      <c r="AF175" s="168"/>
      <c r="AG175" s="168"/>
      <c r="AH175" s="151"/>
      <c r="AI175" s="168"/>
      <c r="AJ175" s="168"/>
      <c r="AK175" s="168"/>
      <c r="AL175" s="168"/>
      <c r="AM175" s="168"/>
      <c r="AN175" s="168"/>
      <c r="AO175" s="168"/>
      <c r="AP175" s="168"/>
      <c r="AQ175" s="168"/>
      <c r="AR175" s="168"/>
      <c r="AS175" s="168"/>
      <c r="AT175" s="168"/>
      <c r="AU175" s="168"/>
      <c r="AV175" s="168"/>
      <c r="AW175" s="168"/>
      <c r="AX175" s="168"/>
      <c r="AY175" s="168"/>
      <c r="AZ175" s="168"/>
      <c r="BA175" s="168"/>
      <c r="BB175" s="168"/>
      <c r="BC175" s="168"/>
      <c r="BD175" s="168"/>
      <c r="BE175" s="168"/>
      <c r="BF175" s="168"/>
      <c r="BG175" s="168"/>
      <c r="BH175" s="168"/>
      <c r="BI175" s="168"/>
      <c r="BJ175" s="168"/>
      <c r="BK175" s="168"/>
      <c r="BL175" s="168"/>
      <c r="BM175" s="168"/>
      <c r="BN175" s="168"/>
      <c r="BO175" s="168"/>
      <c r="BP175" s="168"/>
      <c r="BQ175" s="168"/>
      <c r="BR175" s="168"/>
    </row>
    <row r="176" spans="1:70" s="155" customFormat="1" ht="15" thickBot="1" x14ac:dyDescent="0.4">
      <c r="A176" s="253"/>
      <c r="B176" s="262"/>
      <c r="C176" s="253"/>
      <c r="D176" s="253"/>
      <c r="E176" s="253"/>
      <c r="F176" s="253"/>
      <c r="G176" s="262"/>
      <c r="H176" s="253"/>
      <c r="I176" s="253"/>
      <c r="J176" s="253"/>
      <c r="K176" s="253"/>
      <c r="L176" s="253"/>
      <c r="M176" s="253"/>
      <c r="N176" s="253"/>
      <c r="O176" s="253"/>
      <c r="P176" s="163"/>
      <c r="Q176" s="168"/>
      <c r="R176" s="147"/>
      <c r="S176" s="168"/>
      <c r="T176" s="168"/>
      <c r="U176" s="168"/>
      <c r="V176" s="168"/>
      <c r="W176" s="168"/>
      <c r="X176" s="168"/>
      <c r="Y176" s="168"/>
      <c r="Z176" s="168"/>
      <c r="AA176" s="168"/>
      <c r="AB176" s="168"/>
      <c r="AC176" s="168"/>
      <c r="AD176" s="151"/>
      <c r="AE176" s="168"/>
      <c r="AF176" s="168"/>
      <c r="AG176" s="168"/>
      <c r="AH176" s="151"/>
      <c r="AI176" s="168"/>
      <c r="AJ176" s="168"/>
      <c r="AK176" s="168"/>
      <c r="AL176" s="168"/>
      <c r="AM176" s="168"/>
      <c r="AN176" s="168"/>
      <c r="AO176" s="168"/>
      <c r="AP176" s="168"/>
      <c r="AQ176" s="168"/>
      <c r="AR176" s="168"/>
      <c r="AS176" s="168"/>
      <c r="AT176" s="168"/>
      <c r="AU176" s="168"/>
      <c r="AV176" s="168"/>
      <c r="AW176" s="168"/>
      <c r="AX176" s="168"/>
      <c r="AY176" s="168"/>
      <c r="AZ176" s="168"/>
      <c r="BA176" s="168"/>
      <c r="BB176" s="168"/>
      <c r="BC176" s="168"/>
      <c r="BD176" s="168"/>
      <c r="BE176" s="168"/>
      <c r="BF176" s="168"/>
      <c r="BG176" s="168"/>
      <c r="BH176" s="168"/>
      <c r="BI176" s="168"/>
      <c r="BJ176" s="168"/>
      <c r="BK176" s="168"/>
      <c r="BL176" s="168"/>
      <c r="BM176" s="168"/>
      <c r="BN176" s="168"/>
      <c r="BO176" s="168"/>
      <c r="BP176" s="168"/>
      <c r="BQ176" s="168"/>
      <c r="BR176" s="168"/>
    </row>
    <row r="177" spans="1:73" s="155" customFormat="1" x14ac:dyDescent="0.35">
      <c r="A177" s="271" t="s">
        <v>56</v>
      </c>
      <c r="B177" s="269"/>
      <c r="C177" s="254"/>
      <c r="D177" s="254"/>
      <c r="E177" s="254"/>
      <c r="F177" s="254"/>
      <c r="G177" s="269"/>
      <c r="H177" s="254"/>
      <c r="I177" s="254"/>
      <c r="J177" s="254"/>
      <c r="K177" s="254"/>
      <c r="L177" s="254"/>
      <c r="M177" s="254"/>
      <c r="N177" s="254"/>
      <c r="O177" s="254"/>
      <c r="P177" s="162"/>
      <c r="Q177" s="168"/>
      <c r="R177" s="147"/>
      <c r="S177" s="168"/>
      <c r="T177" s="168"/>
      <c r="U177" s="168"/>
      <c r="V177" s="168"/>
      <c r="W177" s="168"/>
      <c r="X177" s="168"/>
      <c r="Y177" s="168"/>
      <c r="Z177" s="168"/>
      <c r="AA177" s="168"/>
      <c r="AB177" s="168"/>
      <c r="AC177" s="168"/>
      <c r="AD177" s="151"/>
      <c r="AE177" s="168"/>
      <c r="AF177" s="168"/>
      <c r="AG177" s="168"/>
      <c r="AH177" s="151"/>
      <c r="AI177" s="168"/>
      <c r="AJ177" s="168"/>
      <c r="AK177" s="168"/>
      <c r="AL177" s="168"/>
      <c r="AM177" s="168"/>
      <c r="AN177" s="168"/>
      <c r="AO177" s="168"/>
      <c r="AP177" s="168"/>
      <c r="AQ177" s="168"/>
      <c r="AR177" s="168"/>
      <c r="AS177" s="168"/>
      <c r="AT177" s="168"/>
      <c r="AU177" s="168"/>
      <c r="AV177" s="168"/>
      <c r="AW177" s="168"/>
      <c r="AX177" s="168"/>
      <c r="AY177" s="168"/>
      <c r="AZ177" s="168"/>
      <c r="BA177" s="168"/>
      <c r="BB177" s="168"/>
      <c r="BC177" s="168"/>
      <c r="BD177" s="168"/>
      <c r="BE177" s="168"/>
      <c r="BF177" s="168"/>
      <c r="BG177" s="168"/>
      <c r="BH177" s="168"/>
      <c r="BI177" s="168"/>
      <c r="BJ177" s="168"/>
      <c r="BK177" s="168"/>
      <c r="BL177" s="168"/>
      <c r="BM177" s="168"/>
      <c r="BN177" s="168"/>
      <c r="BO177" s="168"/>
      <c r="BP177" s="168"/>
      <c r="BQ177" s="168"/>
      <c r="BR177" s="168"/>
    </row>
    <row r="178" spans="1:73" s="157" customFormat="1" ht="15" thickBot="1" x14ac:dyDescent="0.4">
      <c r="A178" s="272" t="s">
        <v>112</v>
      </c>
      <c r="B178" s="255"/>
      <c r="C178" s="257"/>
      <c r="D178" s="257"/>
      <c r="E178" s="257"/>
      <c r="F178" s="257"/>
      <c r="G178" s="255"/>
      <c r="H178" s="257"/>
      <c r="I178" s="257"/>
      <c r="J178" s="257"/>
      <c r="K178" s="257"/>
      <c r="L178" s="257"/>
      <c r="M178" s="257"/>
      <c r="N178" s="257"/>
      <c r="O178" s="257"/>
      <c r="P178" s="164"/>
      <c r="Q178" s="168"/>
      <c r="R178" s="147"/>
      <c r="S178" s="168"/>
      <c r="T178" s="168"/>
      <c r="U178" s="168"/>
      <c r="V178" s="168"/>
      <c r="W178" s="168"/>
      <c r="X178" s="168"/>
      <c r="Y178" s="168"/>
      <c r="Z178" s="168"/>
      <c r="AA178" s="168"/>
      <c r="AB178" s="168"/>
      <c r="AC178" s="168"/>
      <c r="AD178" s="151"/>
      <c r="AE178" s="168"/>
      <c r="AF178" s="168"/>
      <c r="AG178" s="168"/>
      <c r="AH178" s="151"/>
      <c r="AI178" s="168"/>
      <c r="AJ178" s="168"/>
      <c r="AK178" s="168"/>
      <c r="AL178" s="168"/>
      <c r="AM178" s="168"/>
      <c r="AN178" s="168"/>
      <c r="AO178" s="168"/>
      <c r="AP178" s="168"/>
      <c r="AQ178" s="168"/>
      <c r="AR178" s="168"/>
      <c r="AS178" s="168"/>
      <c r="AT178" s="168"/>
      <c r="AU178" s="168"/>
      <c r="AV178" s="168"/>
      <c r="AW178" s="168"/>
      <c r="AX178" s="168"/>
      <c r="AY178" s="168"/>
      <c r="AZ178" s="168"/>
      <c r="BA178" s="168"/>
      <c r="BB178" s="168"/>
      <c r="BC178" s="168"/>
      <c r="BD178" s="168"/>
      <c r="BE178" s="168"/>
      <c r="BF178" s="168"/>
      <c r="BG178" s="168"/>
      <c r="BH178" s="168"/>
      <c r="BI178" s="168"/>
      <c r="BJ178" s="168"/>
      <c r="BK178" s="168"/>
      <c r="BL178" s="168"/>
      <c r="BM178" s="168"/>
      <c r="BN178" s="168"/>
      <c r="BO178" s="168"/>
      <c r="BP178" s="168"/>
      <c r="BQ178" s="168"/>
      <c r="BR178" s="168"/>
    </row>
    <row r="179" spans="1:73" s="152" customFormat="1" x14ac:dyDescent="0.35">
      <c r="A179" s="272" t="s">
        <v>64</v>
      </c>
      <c r="B179" s="256"/>
      <c r="C179" s="261"/>
      <c r="D179" s="261"/>
      <c r="E179" s="261"/>
      <c r="F179" s="261"/>
      <c r="G179" s="256"/>
      <c r="H179" s="261"/>
      <c r="I179" s="261"/>
      <c r="J179" s="261"/>
      <c r="K179" s="261"/>
      <c r="L179" s="261"/>
      <c r="M179" s="261"/>
      <c r="N179" s="261"/>
      <c r="O179" s="261"/>
      <c r="P179" s="151"/>
      <c r="Q179" s="168"/>
      <c r="R179" s="147"/>
      <c r="S179" s="168"/>
      <c r="T179" s="168"/>
      <c r="U179" s="168"/>
      <c r="V179" s="168"/>
      <c r="W179" s="168"/>
      <c r="X179" s="168"/>
      <c r="Y179" s="168"/>
      <c r="Z179" s="168"/>
      <c r="AA179" s="168"/>
      <c r="AB179" s="168"/>
      <c r="AC179" s="168"/>
      <c r="AD179" s="151"/>
      <c r="AE179" s="168"/>
      <c r="AF179" s="168"/>
      <c r="AG179" s="168"/>
      <c r="AH179" s="151"/>
      <c r="AI179" s="168"/>
      <c r="AJ179" s="168"/>
      <c r="AK179" s="168"/>
      <c r="AL179" s="168"/>
      <c r="AM179" s="168"/>
      <c r="AN179" s="168"/>
      <c r="AO179" s="168"/>
      <c r="AP179" s="168"/>
      <c r="AQ179" s="168"/>
      <c r="AR179" s="168"/>
      <c r="AS179" s="168"/>
      <c r="AT179" s="168"/>
      <c r="AU179" s="168"/>
      <c r="AV179" s="168"/>
      <c r="AW179" s="168"/>
      <c r="AX179" s="168"/>
      <c r="AY179" s="168"/>
      <c r="AZ179" s="168"/>
      <c r="BA179" s="168"/>
      <c r="BB179" s="168"/>
      <c r="BC179" s="168"/>
      <c r="BD179" s="168"/>
      <c r="BE179" s="168"/>
      <c r="BF179" s="168"/>
      <c r="BG179" s="168"/>
      <c r="BH179" s="168"/>
      <c r="BI179" s="168"/>
      <c r="BJ179" s="168"/>
      <c r="BK179" s="168"/>
      <c r="BL179" s="168"/>
      <c r="BM179" s="168"/>
      <c r="BN179" s="168"/>
      <c r="BO179" s="168"/>
      <c r="BP179" s="168"/>
      <c r="BQ179" s="168"/>
      <c r="BR179" s="168"/>
      <c r="BS179" s="168"/>
      <c r="BT179" s="168"/>
      <c r="BU179" s="168"/>
    </row>
    <row r="180" spans="1:73" x14ac:dyDescent="0.35">
      <c r="A180" s="272"/>
      <c r="B180" s="255"/>
      <c r="C180" s="257"/>
      <c r="D180" s="257"/>
      <c r="E180" s="257"/>
      <c r="F180" s="257"/>
      <c r="G180" s="255"/>
      <c r="H180" s="257"/>
      <c r="I180" s="257"/>
      <c r="J180" s="257"/>
      <c r="K180" s="257"/>
      <c r="L180" s="257"/>
      <c r="M180" s="257"/>
      <c r="N180" s="257"/>
      <c r="O180" s="257"/>
      <c r="P180" s="159"/>
    </row>
    <row r="181" spans="1:73" ht="15" thickBot="1" x14ac:dyDescent="0.4">
      <c r="A181" s="273"/>
      <c r="B181" s="274"/>
      <c r="C181" s="258"/>
      <c r="D181" s="258"/>
      <c r="E181" s="258"/>
      <c r="F181" s="258"/>
      <c r="G181" s="274"/>
      <c r="H181" s="258"/>
      <c r="I181" s="258"/>
      <c r="J181" s="258"/>
      <c r="K181" s="258"/>
      <c r="L181" s="258"/>
      <c r="M181" s="258"/>
      <c r="N181" s="258"/>
      <c r="O181" s="258"/>
      <c r="P181" s="159"/>
    </row>
    <row r="182" spans="1:73" x14ac:dyDescent="0.35">
      <c r="A182" s="152"/>
      <c r="B182" s="152"/>
      <c r="C182" s="152"/>
      <c r="D182" s="152"/>
      <c r="E182" s="152"/>
      <c r="F182" s="152"/>
      <c r="G182" s="152"/>
      <c r="H182" s="152"/>
      <c r="I182" s="152"/>
      <c r="J182" s="152"/>
      <c r="K182" s="152"/>
      <c r="L182" s="152"/>
      <c r="M182" s="152"/>
      <c r="N182" s="152"/>
      <c r="O182" s="152"/>
    </row>
  </sheetData>
  <mergeCells count="6">
    <mergeCell ref="AA14:AC14"/>
    <mergeCell ref="AE14:AG14"/>
    <mergeCell ref="AI14:AL14"/>
    <mergeCell ref="R25:AC26"/>
    <mergeCell ref="AE25:AG26"/>
    <mergeCell ref="AI25:AK2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O181"/>
  <sheetViews>
    <sheetView workbookViewId="0">
      <selection activeCell="A4" sqref="A4"/>
    </sheetView>
  </sheetViews>
  <sheetFormatPr defaultRowHeight="14.5" x14ac:dyDescent="0.35"/>
  <cols>
    <col min="1" max="1" width="18" customWidth="1"/>
    <col min="2" max="11" width="13.81640625" bestFit="1" customWidth="1"/>
    <col min="12" max="12" width="14.81640625" bestFit="1" customWidth="1"/>
    <col min="14" max="14" width="9.1796875" style="168"/>
    <col min="15" max="15" width="18.453125" style="147" customWidth="1"/>
    <col min="16" max="20" width="0" style="168" hidden="1" customWidth="1"/>
    <col min="21" max="23" width="9.1796875" style="168" hidden="1" customWidth="1"/>
    <col min="24" max="24" width="31.26953125" style="168" customWidth="1"/>
    <col min="25" max="25" width="27.26953125" style="168" customWidth="1"/>
    <col min="26" max="26" width="18.54296875" style="168" customWidth="1"/>
    <col min="27" max="27" width="5.7265625" style="151" customWidth="1"/>
    <col min="28" max="28" width="22.26953125" style="168" customWidth="1"/>
    <col min="29" max="29" width="31.453125" style="168" customWidth="1"/>
    <col min="30" max="30" width="24.54296875" style="168" customWidth="1"/>
    <col min="31" max="31" width="5" style="151" customWidth="1"/>
    <col min="32" max="32" width="29.26953125" style="168" customWidth="1"/>
    <col min="33" max="33" width="33" style="168" customWidth="1"/>
    <col min="34" max="35" width="23.7265625" style="168" customWidth="1"/>
    <col min="36" max="36" width="17.26953125" style="168" customWidth="1"/>
    <col min="37" max="57" width="9.1796875" style="168"/>
  </cols>
  <sheetData>
    <row r="1" spans="1:67" ht="16" thickBot="1" x14ac:dyDescent="0.4">
      <c r="A1" s="75" t="s">
        <v>122</v>
      </c>
    </row>
    <row r="2" spans="1:67" x14ac:dyDescent="0.35">
      <c r="X2" s="285" t="s">
        <v>126</v>
      </c>
      <c r="Y2" s="286" t="s">
        <v>125</v>
      </c>
    </row>
    <row r="3" spans="1:67" x14ac:dyDescent="0.35">
      <c r="X3" s="287">
        <v>234</v>
      </c>
      <c r="Y3" s="288">
        <v>200</v>
      </c>
    </row>
    <row r="4" spans="1:67" x14ac:dyDescent="0.35">
      <c r="X4" s="281"/>
      <c r="Y4" s="282"/>
    </row>
    <row r="5" spans="1:67" s="152" customFormat="1" x14ac:dyDescent="0.35">
      <c r="A5" s="180" t="s">
        <v>0</v>
      </c>
      <c r="B5" s="182" t="s">
        <v>10</v>
      </c>
      <c r="C5" s="182" t="s">
        <v>11</v>
      </c>
      <c r="D5" s="209" t="s">
        <v>12</v>
      </c>
      <c r="E5" s="182" t="s">
        <v>13</v>
      </c>
      <c r="F5" s="182" t="s">
        <v>14</v>
      </c>
      <c r="G5" s="182" t="s">
        <v>15</v>
      </c>
      <c r="H5" s="182" t="s">
        <v>16</v>
      </c>
      <c r="I5" s="183" t="s">
        <v>17</v>
      </c>
      <c r="J5" s="184" t="s">
        <v>23</v>
      </c>
      <c r="K5" s="184" t="s">
        <v>24</v>
      </c>
      <c r="L5" s="185" t="s">
        <v>18</v>
      </c>
      <c r="M5" s="159"/>
      <c r="N5" s="168"/>
      <c r="O5" s="147"/>
      <c r="P5" s="168"/>
      <c r="Q5" s="168"/>
      <c r="R5" s="168"/>
      <c r="S5" s="168"/>
      <c r="T5" s="168"/>
      <c r="U5" s="168"/>
      <c r="V5" s="168"/>
      <c r="W5" s="168"/>
      <c r="X5" s="281"/>
      <c r="Y5" s="282"/>
      <c r="Z5" s="168"/>
      <c r="AA5" s="151"/>
      <c r="AB5" s="168"/>
      <c r="AC5" s="168"/>
      <c r="AD5" s="168"/>
      <c r="AE5" s="151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</row>
    <row r="6" spans="1:67" s="165" customFormat="1" x14ac:dyDescent="0.35">
      <c r="A6" s="154" t="s">
        <v>25</v>
      </c>
      <c r="B6" s="186">
        <v>726</v>
      </c>
      <c r="C6" s="186">
        <v>726</v>
      </c>
      <c r="D6" s="210">
        <v>726</v>
      </c>
      <c r="E6" s="186">
        <v>726</v>
      </c>
      <c r="F6" s="186">
        <v>726</v>
      </c>
      <c r="G6" s="186">
        <v>726</v>
      </c>
      <c r="H6" s="186">
        <v>726</v>
      </c>
      <c r="I6" s="186">
        <v>726</v>
      </c>
      <c r="J6" s="186">
        <v>726</v>
      </c>
      <c r="K6" s="186">
        <v>726</v>
      </c>
      <c r="L6" s="186">
        <f>SUM(B6:K6)</f>
        <v>7260</v>
      </c>
      <c r="M6" s="160"/>
      <c r="N6" s="169"/>
      <c r="O6" s="170"/>
      <c r="P6" s="169"/>
      <c r="Q6" s="169"/>
      <c r="R6" s="169"/>
      <c r="S6" s="169"/>
      <c r="T6" s="169"/>
      <c r="U6" s="169"/>
      <c r="V6" s="169"/>
      <c r="W6" s="169"/>
      <c r="X6" s="283"/>
      <c r="Y6" s="284"/>
      <c r="Z6" s="169"/>
      <c r="AA6" s="150"/>
      <c r="AB6" s="169"/>
      <c r="AC6" s="169"/>
      <c r="AD6" s="169"/>
      <c r="AE6" s="150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</row>
    <row r="7" spans="1:67" s="152" customFormat="1" x14ac:dyDescent="0.35">
      <c r="A7" s="187" t="s">
        <v>20</v>
      </c>
      <c r="B7" s="188">
        <f>'housing proportion projections'!L6</f>
        <v>154.22553087625062</v>
      </c>
      <c r="C7" s="188">
        <f>'housing proportion projections'!M6</f>
        <v>154.22553087625062</v>
      </c>
      <c r="D7" s="188">
        <f>'housing proportion projections'!N6</f>
        <v>154.22553087625062</v>
      </c>
      <c r="E7" s="188">
        <f>'housing proportion projections'!O6</f>
        <v>154.22553087625062</v>
      </c>
      <c r="F7" s="188">
        <f>'housing proportion projections'!P6</f>
        <v>154.22553087625062</v>
      </c>
      <c r="G7" s="188">
        <f>'housing proportion projections'!Q6</f>
        <v>154.22553087625062</v>
      </c>
      <c r="H7" s="188">
        <f>'housing proportion projections'!R6</f>
        <v>154.22553087625062</v>
      </c>
      <c r="I7" s="188">
        <f>'housing proportion projections'!S6</f>
        <v>154.22553087625062</v>
      </c>
      <c r="J7" s="188">
        <f>'housing proportion projections'!T6</f>
        <v>154.22553087625062</v>
      </c>
      <c r="K7" s="188">
        <f>'housing proportion projections'!U6</f>
        <v>154.22553087625062</v>
      </c>
      <c r="L7" s="186">
        <f t="shared" ref="L7:L10" si="0">SUM(B7:K7)</f>
        <v>1542.2553087625058</v>
      </c>
      <c r="M7" s="159"/>
      <c r="N7" s="168"/>
      <c r="O7" s="147"/>
      <c r="P7" s="168"/>
      <c r="Q7" s="168"/>
      <c r="R7" s="168"/>
      <c r="S7" s="168"/>
      <c r="T7" s="168"/>
      <c r="U7" s="168"/>
      <c r="V7" s="168"/>
      <c r="W7" s="168"/>
      <c r="X7" s="281"/>
      <c r="Y7" s="282"/>
      <c r="Z7" s="168"/>
      <c r="AA7" s="151"/>
      <c r="AB7" s="168"/>
      <c r="AC7" s="168"/>
      <c r="AD7" s="168"/>
      <c r="AE7" s="151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</row>
    <row r="8" spans="1:67" s="152" customFormat="1" ht="15" thickBot="1" x14ac:dyDescent="0.4">
      <c r="A8" s="187" t="s">
        <v>21</v>
      </c>
      <c r="B8" s="188">
        <f>'housing proportion projections'!L7</f>
        <v>196.69514278740564</v>
      </c>
      <c r="C8" s="188">
        <f>'housing proportion projections'!M7</f>
        <v>196.69514278740564</v>
      </c>
      <c r="D8" s="188">
        <f>'housing proportion projections'!N7</f>
        <v>196.69514278740564</v>
      </c>
      <c r="E8" s="188">
        <f>'housing proportion projections'!O7</f>
        <v>196.69514278740564</v>
      </c>
      <c r="F8" s="188">
        <f>'housing proportion projections'!P7</f>
        <v>196.69514278740564</v>
      </c>
      <c r="G8" s="188">
        <f>'housing proportion projections'!Q7</f>
        <v>196.69514278740564</v>
      </c>
      <c r="H8" s="188">
        <f>'housing proportion projections'!R7</f>
        <v>196.69514278740564</v>
      </c>
      <c r="I8" s="188">
        <f>'housing proportion projections'!S7</f>
        <v>196.69514278740564</v>
      </c>
      <c r="J8" s="188">
        <f>'housing proportion projections'!T7</f>
        <v>196.69514278740564</v>
      </c>
      <c r="K8" s="188">
        <f>'housing proportion projections'!U7</f>
        <v>196.69514278740564</v>
      </c>
      <c r="L8" s="186">
        <f t="shared" si="0"/>
        <v>1966.9514278740562</v>
      </c>
      <c r="M8" s="159"/>
      <c r="N8" s="168"/>
      <c r="O8" s="147"/>
      <c r="P8" s="168"/>
      <c r="Q8" s="168"/>
      <c r="R8" s="168"/>
      <c r="S8" s="168"/>
      <c r="T8" s="168"/>
      <c r="U8" s="168"/>
      <c r="V8" s="168"/>
      <c r="W8" s="168"/>
      <c r="X8" s="243"/>
      <c r="Y8" s="244"/>
      <c r="Z8" s="168"/>
      <c r="AA8" s="151"/>
      <c r="AB8" s="168"/>
      <c r="AC8" s="168"/>
      <c r="AD8" s="168"/>
      <c r="AE8" s="151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</row>
    <row r="9" spans="1:67" s="152" customFormat="1" x14ac:dyDescent="0.35">
      <c r="A9" s="187" t="s">
        <v>26</v>
      </c>
      <c r="B9" s="188">
        <f>'housing proportion projections'!L8</f>
        <v>270.64779106663434</v>
      </c>
      <c r="C9" s="188">
        <f>'housing proportion projections'!M8</f>
        <v>270.64779106663434</v>
      </c>
      <c r="D9" s="188">
        <f>'housing proportion projections'!N8</f>
        <v>270.64779106663434</v>
      </c>
      <c r="E9" s="188">
        <f>'housing proportion projections'!O8</f>
        <v>270.64779106663434</v>
      </c>
      <c r="F9" s="188">
        <f>'housing proportion projections'!P8</f>
        <v>270.64779106663434</v>
      </c>
      <c r="G9" s="188">
        <f>'housing proportion projections'!Q8</f>
        <v>270.64779106663434</v>
      </c>
      <c r="H9" s="188">
        <f>'housing proportion projections'!R8</f>
        <v>270.64779106663434</v>
      </c>
      <c r="I9" s="188">
        <f>'housing proportion projections'!S8</f>
        <v>270.64779106663434</v>
      </c>
      <c r="J9" s="188">
        <f>'housing proportion projections'!T8</f>
        <v>270.64779106663434</v>
      </c>
      <c r="K9" s="188">
        <f>'housing proportion projections'!U8</f>
        <v>270.64779106663434</v>
      </c>
      <c r="L9" s="186">
        <f t="shared" si="0"/>
        <v>2706.4779106663441</v>
      </c>
      <c r="M9" s="159"/>
      <c r="N9" s="168"/>
      <c r="O9" s="147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51"/>
      <c r="AB9" s="168"/>
      <c r="AC9" s="168"/>
      <c r="AD9" s="168"/>
      <c r="AE9" s="151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</row>
    <row r="10" spans="1:67" s="158" customFormat="1" x14ac:dyDescent="0.35">
      <c r="A10" s="190" t="s">
        <v>22</v>
      </c>
      <c r="B10" s="188">
        <f>'housing proportion projections'!L9</f>
        <v>104.49060288015619</v>
      </c>
      <c r="C10" s="188">
        <f>'housing proportion projections'!M9</f>
        <v>104.49060288015619</v>
      </c>
      <c r="D10" s="188">
        <f>'housing proportion projections'!N9</f>
        <v>104.49060288015619</v>
      </c>
      <c r="E10" s="188">
        <f>'housing proportion projections'!O9</f>
        <v>104.49060288015619</v>
      </c>
      <c r="F10" s="188">
        <f>'housing proportion projections'!P9</f>
        <v>104.49060288015619</v>
      </c>
      <c r="G10" s="188">
        <f>'housing proportion projections'!Q9</f>
        <v>104.49060288015619</v>
      </c>
      <c r="H10" s="188">
        <f>'housing proportion projections'!R9</f>
        <v>104.49060288015619</v>
      </c>
      <c r="I10" s="188">
        <f>'housing proportion projections'!S9</f>
        <v>104.49060288015619</v>
      </c>
      <c r="J10" s="188">
        <f>'housing proportion projections'!T9</f>
        <v>104.49060288015619</v>
      </c>
      <c r="K10" s="188">
        <f>'housing proportion projections'!U9</f>
        <v>104.49060288015619</v>
      </c>
      <c r="L10" s="186">
        <f t="shared" si="0"/>
        <v>1044.9060288015619</v>
      </c>
      <c r="M10" s="167"/>
      <c r="N10" s="168"/>
      <c r="O10" s="147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51"/>
      <c r="AB10" s="168"/>
      <c r="AC10" s="168"/>
      <c r="AD10" s="168"/>
      <c r="AE10" s="151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</row>
    <row r="11" spans="1:67" s="152" customFormat="1" ht="15" thickBot="1" x14ac:dyDescent="0.4">
      <c r="A11" s="179"/>
      <c r="B11" s="179"/>
      <c r="C11" s="179"/>
      <c r="D11" s="212"/>
      <c r="E11" s="179"/>
      <c r="F11" s="179"/>
      <c r="G11" s="179"/>
      <c r="H11" s="179"/>
      <c r="I11" s="179"/>
      <c r="J11" s="179"/>
      <c r="K11" s="179"/>
      <c r="L11" s="179"/>
      <c r="M11" s="159"/>
      <c r="N11" s="168"/>
      <c r="O11" s="147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51"/>
      <c r="AB11" s="168"/>
      <c r="AC11" s="168"/>
      <c r="AD11" s="168"/>
      <c r="AE11" s="151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</row>
    <row r="12" spans="1:67" s="166" customFormat="1" x14ac:dyDescent="0.35">
      <c r="A12" s="191" t="s">
        <v>134</v>
      </c>
      <c r="B12" s="192"/>
      <c r="C12" s="192"/>
      <c r="D12" s="213"/>
      <c r="E12" s="192"/>
      <c r="F12" s="192"/>
      <c r="G12" s="192"/>
      <c r="H12" s="192"/>
      <c r="I12" s="192"/>
      <c r="J12" s="192"/>
      <c r="K12" s="192"/>
      <c r="L12" s="192"/>
      <c r="N12" s="168"/>
      <c r="O12" s="147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51"/>
      <c r="AB12" s="168"/>
      <c r="AC12" s="168"/>
      <c r="AD12" s="168"/>
      <c r="AE12" s="151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</row>
    <row r="13" spans="1:67" s="155" customFormat="1" x14ac:dyDescent="0.35">
      <c r="A13" s="193" t="s">
        <v>112</v>
      </c>
      <c r="B13" s="214">
        <f>((B7*$AB$27)+(B8*$AB$28)+(B9*$AB$29)+(B10*$AB$30))*30</f>
        <v>5872185.2162074689</v>
      </c>
      <c r="C13" s="214">
        <f>((C7*$AB$27)+(C8*$AB$28)+(C9*$AB$29)+(C10*$AB$30))*30</f>
        <v>5872185.2162074689</v>
      </c>
      <c r="D13" s="214">
        <f>((D7*$AF$27)+(D8*$AF$28)+(D9*$AF$29)+(D10*$AF$30))*30</f>
        <v>5803270.0707425736</v>
      </c>
      <c r="E13" s="214">
        <f t="shared" ref="E13:K13" si="1">((E7*$AF$27)+(E8*$AF$28)+(E9*$AF$29)+(E10*$AF$30))*30</f>
        <v>5803270.0707425736</v>
      </c>
      <c r="F13" s="214">
        <f t="shared" si="1"/>
        <v>5803270.0707425736</v>
      </c>
      <c r="G13" s="214">
        <f t="shared" si="1"/>
        <v>5803270.0707425736</v>
      </c>
      <c r="H13" s="214">
        <f t="shared" si="1"/>
        <v>5803270.0707425736</v>
      </c>
      <c r="I13" s="214">
        <f t="shared" si="1"/>
        <v>5803270.0707425736</v>
      </c>
      <c r="J13" s="214">
        <f t="shared" si="1"/>
        <v>5803270.0707425736</v>
      </c>
      <c r="K13" s="214">
        <f t="shared" si="1"/>
        <v>5803270.0707425736</v>
      </c>
      <c r="L13" s="214">
        <f>SUM(B13:K13)</f>
        <v>58170530.998355538</v>
      </c>
      <c r="M13" s="162"/>
      <c r="N13" s="168"/>
      <c r="O13" s="147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51"/>
      <c r="AB13" s="168"/>
      <c r="AC13" s="168"/>
      <c r="AD13" s="168"/>
      <c r="AE13" s="151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</row>
    <row r="14" spans="1:67" s="155" customFormat="1" x14ac:dyDescent="0.35">
      <c r="A14" s="193" t="s">
        <v>113</v>
      </c>
      <c r="B14" s="214">
        <f t="shared" ref="B14:L14" si="2">B13/1000</f>
        <v>5872.1852162074692</v>
      </c>
      <c r="C14" s="214">
        <f t="shared" si="2"/>
        <v>5872.1852162074692</v>
      </c>
      <c r="D14" s="214">
        <f t="shared" si="2"/>
        <v>5803.2700707425738</v>
      </c>
      <c r="E14" s="214">
        <f t="shared" si="2"/>
        <v>5803.2700707425738</v>
      </c>
      <c r="F14" s="214">
        <f t="shared" si="2"/>
        <v>5803.2700707425738</v>
      </c>
      <c r="G14" s="214">
        <f t="shared" si="2"/>
        <v>5803.2700707425738</v>
      </c>
      <c r="H14" s="214">
        <f t="shared" si="2"/>
        <v>5803.2700707425738</v>
      </c>
      <c r="I14" s="214">
        <f t="shared" si="2"/>
        <v>5803.2700707425738</v>
      </c>
      <c r="J14" s="214">
        <f t="shared" si="2"/>
        <v>5803.2700707425738</v>
      </c>
      <c r="K14" s="214">
        <f t="shared" si="2"/>
        <v>5803.2700707425738</v>
      </c>
      <c r="L14" s="214">
        <f t="shared" si="2"/>
        <v>58170.530998355534</v>
      </c>
      <c r="M14" s="163"/>
      <c r="N14" s="168"/>
      <c r="O14" s="147"/>
      <c r="P14" s="168"/>
      <c r="Q14" s="168"/>
      <c r="R14" s="168"/>
      <c r="S14" s="168"/>
      <c r="T14" s="168"/>
      <c r="U14" s="168"/>
      <c r="V14" s="168"/>
      <c r="W14" s="168"/>
      <c r="X14" s="342" t="s">
        <v>58</v>
      </c>
      <c r="Y14" s="342"/>
      <c r="Z14" s="342"/>
      <c r="AA14" s="150"/>
      <c r="AB14" s="343" t="s">
        <v>59</v>
      </c>
      <c r="AC14" s="343"/>
      <c r="AD14" s="343"/>
      <c r="AE14" s="150"/>
      <c r="AF14" s="342" t="s">
        <v>106</v>
      </c>
      <c r="AG14" s="342"/>
      <c r="AH14" s="342"/>
      <c r="AI14" s="342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</row>
    <row r="15" spans="1:67" s="155" customFormat="1" x14ac:dyDescent="0.35">
      <c r="A15" s="193" t="s">
        <v>64</v>
      </c>
      <c r="B15" s="215">
        <f t="shared" ref="B15:L15" si="3">B14*$X$3</f>
        <v>1374091.3405925478</v>
      </c>
      <c r="C15" s="215">
        <f t="shared" si="3"/>
        <v>1374091.3405925478</v>
      </c>
      <c r="D15" s="215">
        <f t="shared" si="3"/>
        <v>1357965.1965537623</v>
      </c>
      <c r="E15" s="215">
        <f t="shared" si="3"/>
        <v>1357965.1965537623</v>
      </c>
      <c r="F15" s="215">
        <f t="shared" si="3"/>
        <v>1357965.1965537623</v>
      </c>
      <c r="G15" s="215">
        <f t="shared" si="3"/>
        <v>1357965.1965537623</v>
      </c>
      <c r="H15" s="215">
        <f t="shared" si="3"/>
        <v>1357965.1965537623</v>
      </c>
      <c r="I15" s="215">
        <f t="shared" si="3"/>
        <v>1357965.1965537623</v>
      </c>
      <c r="J15" s="215">
        <f t="shared" si="3"/>
        <v>1357965.1965537623</v>
      </c>
      <c r="K15" s="215">
        <f t="shared" si="3"/>
        <v>1357965.1965537623</v>
      </c>
      <c r="L15" s="215">
        <f t="shared" si="3"/>
        <v>13611904.253615195</v>
      </c>
      <c r="M15" s="162"/>
      <c r="N15" s="168"/>
      <c r="O15" s="147"/>
      <c r="P15" s="168" t="s">
        <v>79</v>
      </c>
      <c r="Q15" s="168"/>
      <c r="R15" s="168" t="s">
        <v>78</v>
      </c>
      <c r="S15" s="168"/>
      <c r="T15" s="168"/>
      <c r="U15" s="168"/>
      <c r="V15" s="168"/>
      <c r="W15" s="168"/>
      <c r="X15" s="176" t="s">
        <v>77</v>
      </c>
      <c r="Y15" s="176" t="s">
        <v>76</v>
      </c>
      <c r="Z15" s="176" t="s">
        <v>75</v>
      </c>
      <c r="AA15" s="177"/>
      <c r="AB15" s="176" t="s">
        <v>77</v>
      </c>
      <c r="AC15" s="176" t="s">
        <v>76</v>
      </c>
      <c r="AD15" s="176" t="s">
        <v>75</v>
      </c>
      <c r="AE15" s="176"/>
      <c r="AF15" s="176" t="s">
        <v>77</v>
      </c>
      <c r="AG15" s="176" t="s">
        <v>76</v>
      </c>
      <c r="AH15" s="176" t="s">
        <v>75</v>
      </c>
      <c r="AI15" s="169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</row>
    <row r="16" spans="1:67" s="157" customFormat="1" ht="15" thickBot="1" x14ac:dyDescent="0.4">
      <c r="A16" s="193"/>
      <c r="B16" s="194"/>
      <c r="C16" s="194"/>
      <c r="D16" s="214"/>
      <c r="E16" s="194"/>
      <c r="F16" s="194"/>
      <c r="G16" s="194"/>
      <c r="H16" s="194"/>
      <c r="I16" s="194"/>
      <c r="J16" s="194"/>
      <c r="K16" s="194"/>
      <c r="L16" s="194"/>
      <c r="M16" s="164"/>
      <c r="N16" s="168"/>
      <c r="O16" s="147"/>
      <c r="P16" s="168" t="s">
        <v>74</v>
      </c>
      <c r="Q16" s="168" t="s">
        <v>73</v>
      </c>
      <c r="R16" s="168" t="s">
        <v>72</v>
      </c>
      <c r="S16" s="168"/>
      <c r="T16" s="168"/>
      <c r="U16" s="168"/>
      <c r="V16" s="168"/>
      <c r="W16" s="168"/>
      <c r="X16" s="176" t="s">
        <v>71</v>
      </c>
      <c r="Y16" s="176" t="s">
        <v>71</v>
      </c>
      <c r="Z16" s="176" t="s">
        <v>71</v>
      </c>
      <c r="AA16" s="177"/>
      <c r="AB16" s="176" t="s">
        <v>71</v>
      </c>
      <c r="AC16" s="176" t="s">
        <v>71</v>
      </c>
      <c r="AD16" s="176" t="s">
        <v>71</v>
      </c>
      <c r="AE16" s="176"/>
      <c r="AF16" s="176" t="s">
        <v>71</v>
      </c>
      <c r="AG16" s="176" t="s">
        <v>71</v>
      </c>
      <c r="AH16" s="176" t="s">
        <v>71</v>
      </c>
      <c r="AI16" s="169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</row>
    <row r="17" spans="1:67" s="152" customFormat="1" ht="15" thickBot="1" x14ac:dyDescent="0.4">
      <c r="A17" s="197"/>
      <c r="B17" s="198"/>
      <c r="C17" s="198"/>
      <c r="D17" s="216"/>
      <c r="E17" s="198"/>
      <c r="F17" s="198"/>
      <c r="G17" s="198"/>
      <c r="H17" s="198"/>
      <c r="I17" s="198"/>
      <c r="J17" s="198"/>
      <c r="K17" s="198"/>
      <c r="L17" s="198"/>
      <c r="M17" s="159"/>
      <c r="N17" s="168"/>
      <c r="O17" s="173" t="s">
        <v>70</v>
      </c>
      <c r="P17" s="172">
        <v>7756.2950000000001</v>
      </c>
      <c r="Q17" s="172">
        <v>517.5204</v>
      </c>
      <c r="R17" s="172">
        <v>4079</v>
      </c>
      <c r="S17" s="172"/>
      <c r="T17" s="172"/>
      <c r="U17" s="172"/>
      <c r="V17" s="172"/>
      <c r="W17" s="172"/>
      <c r="X17" s="174">
        <v>1699.2047244</v>
      </c>
      <c r="Y17" s="174">
        <v>554.74400000000003</v>
      </c>
      <c r="Z17" s="174">
        <v>2253.9487244000002</v>
      </c>
      <c r="AA17" s="175"/>
      <c r="AB17" s="174">
        <v>1693.5119999999999</v>
      </c>
      <c r="AC17" s="174">
        <v>509.875</v>
      </c>
      <c r="AD17" s="174">
        <v>2203.3869999999997</v>
      </c>
      <c r="AE17" s="175"/>
      <c r="AF17" s="174">
        <v>1675.398786</v>
      </c>
      <c r="AG17" s="174">
        <v>367.11</v>
      </c>
      <c r="AH17" s="174">
        <v>2042.5087859999999</v>
      </c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</row>
    <row r="18" spans="1:67" s="152" customFormat="1" x14ac:dyDescent="0.35">
      <c r="A18" s="179"/>
      <c r="B18" s="179"/>
      <c r="C18" s="179"/>
      <c r="D18" s="212"/>
      <c r="E18" s="179"/>
      <c r="F18" s="179"/>
      <c r="G18" s="179"/>
      <c r="H18" s="179"/>
      <c r="I18" s="179"/>
      <c r="J18" s="179"/>
      <c r="K18" s="179"/>
      <c r="L18" s="179"/>
      <c r="M18" s="159"/>
      <c r="N18" s="168"/>
      <c r="O18" s="173" t="s">
        <v>69</v>
      </c>
      <c r="P18" s="172">
        <v>5851</v>
      </c>
      <c r="Q18" s="172">
        <v>443</v>
      </c>
      <c r="R18" s="172">
        <v>3428</v>
      </c>
      <c r="S18" s="172"/>
      <c r="T18" s="172"/>
      <c r="U18" s="172"/>
      <c r="V18" s="172"/>
      <c r="W18" s="172"/>
      <c r="X18" s="174">
        <v>1288.9580000000001</v>
      </c>
      <c r="Y18" s="174">
        <v>466.20800000000003</v>
      </c>
      <c r="Z18" s="174">
        <v>1755.1660000000002</v>
      </c>
      <c r="AA18" s="175"/>
      <c r="AB18" s="174">
        <v>1284.085</v>
      </c>
      <c r="AC18" s="174">
        <v>428.5</v>
      </c>
      <c r="AD18" s="174">
        <v>1717.4580000000001</v>
      </c>
      <c r="AE18" s="175"/>
      <c r="AF18" s="174">
        <v>1268.58</v>
      </c>
      <c r="AG18" s="174">
        <v>308.52</v>
      </c>
      <c r="AH18" s="174">
        <v>1577.1</v>
      </c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</row>
    <row r="19" spans="1:67" s="152" customFormat="1" x14ac:dyDescent="0.35">
      <c r="A19" s="179"/>
      <c r="B19" s="179"/>
      <c r="C19" s="179"/>
      <c r="D19" s="212"/>
      <c r="E19" s="179"/>
      <c r="F19" s="179"/>
      <c r="G19" s="179"/>
      <c r="H19" s="179"/>
      <c r="I19" s="179"/>
      <c r="J19" s="179"/>
      <c r="K19" s="179"/>
      <c r="L19" s="179"/>
      <c r="M19" s="159"/>
      <c r="N19" s="168"/>
      <c r="O19" s="173" t="s">
        <v>65</v>
      </c>
      <c r="P19" s="172">
        <v>6404.3546999999999</v>
      </c>
      <c r="Q19" s="172">
        <v>466.53879999999998</v>
      </c>
      <c r="R19" s="172">
        <v>3428</v>
      </c>
      <c r="S19" s="172"/>
      <c r="T19" s="172"/>
      <c r="U19" s="172"/>
      <c r="V19" s="172"/>
      <c r="W19" s="172"/>
      <c r="X19" s="174">
        <v>1408.3637638</v>
      </c>
      <c r="Y19" s="174">
        <v>466.20800000000003</v>
      </c>
      <c r="Z19" s="174">
        <v>1874.5717638000001</v>
      </c>
      <c r="AA19" s="175"/>
      <c r="AB19" s="174">
        <v>1403.231837</v>
      </c>
      <c r="AC19" s="174">
        <v>428.5</v>
      </c>
      <c r="AD19" s="174">
        <v>1836.8637638</v>
      </c>
      <c r="AE19" s="175"/>
      <c r="AF19" s="174">
        <v>1386.902979</v>
      </c>
      <c r="AG19" s="174">
        <v>308.52</v>
      </c>
      <c r="AH19" s="174">
        <v>1695.4229789999999</v>
      </c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</row>
    <row r="20" spans="1:67" s="152" customFormat="1" x14ac:dyDescent="0.35">
      <c r="A20" s="180" t="s">
        <v>0</v>
      </c>
      <c r="B20" s="182" t="s">
        <v>10</v>
      </c>
      <c r="C20" s="182" t="s">
        <v>11</v>
      </c>
      <c r="D20" s="209" t="s">
        <v>12</v>
      </c>
      <c r="E20" s="182" t="s">
        <v>13</v>
      </c>
      <c r="F20" s="182" t="s">
        <v>14</v>
      </c>
      <c r="G20" s="182" t="s">
        <v>15</v>
      </c>
      <c r="H20" s="182" t="s">
        <v>16</v>
      </c>
      <c r="I20" s="183" t="s">
        <v>17</v>
      </c>
      <c r="J20" s="184" t="s">
        <v>23</v>
      </c>
      <c r="K20" s="184" t="s">
        <v>24</v>
      </c>
      <c r="L20" s="185" t="s">
        <v>18</v>
      </c>
      <c r="M20" s="160"/>
      <c r="N20" s="168"/>
      <c r="O20" s="173" t="s">
        <v>66</v>
      </c>
      <c r="P20" s="172">
        <v>3681.8650249999996</v>
      </c>
      <c r="Q20" s="172">
        <v>334.46890000000002</v>
      </c>
      <c r="R20" s="172">
        <v>2627</v>
      </c>
      <c r="S20" s="172"/>
      <c r="T20" s="172"/>
      <c r="U20" s="172"/>
      <c r="V20" s="172"/>
      <c r="W20" s="172"/>
      <c r="X20" s="174">
        <v>818.67942564999998</v>
      </c>
      <c r="Y20" s="174">
        <v>357.27200000000005</v>
      </c>
      <c r="Z20" s="174">
        <v>1175.9514256499999</v>
      </c>
      <c r="AA20" s="175">
        <v>0</v>
      </c>
      <c r="AB20" s="174">
        <v>815.00026774999992</v>
      </c>
      <c r="AC20" s="174">
        <v>328.375</v>
      </c>
      <c r="AD20" s="174">
        <v>1147.05442565</v>
      </c>
      <c r="AE20" s="175">
        <v>0</v>
      </c>
      <c r="AF20" s="174">
        <v>803.29385624999986</v>
      </c>
      <c r="AG20" s="174">
        <v>236.43</v>
      </c>
      <c r="AH20" s="174">
        <v>1039.7238562499999</v>
      </c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</row>
    <row r="21" spans="1:67" s="152" customFormat="1" x14ac:dyDescent="0.35">
      <c r="A21" s="154" t="s">
        <v>27</v>
      </c>
      <c r="B21" s="199">
        <v>498</v>
      </c>
      <c r="C21" s="199">
        <v>498</v>
      </c>
      <c r="D21" s="217">
        <v>498</v>
      </c>
      <c r="E21" s="199">
        <v>498</v>
      </c>
      <c r="F21" s="199">
        <v>498</v>
      </c>
      <c r="G21" s="199">
        <v>498</v>
      </c>
      <c r="H21" s="199">
        <v>498</v>
      </c>
      <c r="I21" s="199">
        <v>498</v>
      </c>
      <c r="J21" s="199">
        <v>498</v>
      </c>
      <c r="K21" s="199">
        <v>498</v>
      </c>
      <c r="L21" s="186">
        <f>SUM(B21:K21)</f>
        <v>4980</v>
      </c>
      <c r="M21" s="159"/>
      <c r="N21" s="168"/>
      <c r="O21" s="147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51"/>
      <c r="AB21" s="168"/>
      <c r="AC21" s="168"/>
      <c r="AD21" s="168"/>
      <c r="AE21" s="151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</row>
    <row r="22" spans="1:67" s="152" customFormat="1" x14ac:dyDescent="0.35">
      <c r="A22" s="187" t="s">
        <v>20</v>
      </c>
      <c r="B22" s="201">
        <f>'housing proportion projections'!L11</f>
        <v>109.82304921968787</v>
      </c>
      <c r="C22" s="201">
        <f>'housing proportion projections'!M11</f>
        <v>109.82304921968787</v>
      </c>
      <c r="D22" s="201">
        <f>'housing proportion projections'!N11</f>
        <v>109.82304921968787</v>
      </c>
      <c r="E22" s="201">
        <f>'housing proportion projections'!O11</f>
        <v>109.82304921968787</v>
      </c>
      <c r="F22" s="201">
        <f>'housing proportion projections'!P11</f>
        <v>109.82304921968787</v>
      </c>
      <c r="G22" s="201">
        <f>'housing proportion projections'!Q11</f>
        <v>109.82304921968787</v>
      </c>
      <c r="H22" s="201">
        <f>'housing proportion projections'!R11</f>
        <v>109.82304921968787</v>
      </c>
      <c r="I22" s="201">
        <f>'housing proportion projections'!S11</f>
        <v>109.82304921968787</v>
      </c>
      <c r="J22" s="201">
        <f>'housing proportion projections'!T11</f>
        <v>109.82304921968787</v>
      </c>
      <c r="K22" s="201">
        <f>'housing proportion projections'!U11</f>
        <v>109.82304921968787</v>
      </c>
      <c r="L22" s="186">
        <f t="shared" ref="L22:L25" si="4">SUM(B22:K22)</f>
        <v>1098.2304921968787</v>
      </c>
      <c r="M22" s="159"/>
      <c r="N22" s="168"/>
      <c r="O22" s="147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51"/>
      <c r="AB22" s="168"/>
      <c r="AC22" s="168"/>
      <c r="AD22" s="168"/>
      <c r="AE22" s="151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</row>
    <row r="23" spans="1:67" s="152" customFormat="1" x14ac:dyDescent="0.35">
      <c r="A23" s="187" t="s">
        <v>21</v>
      </c>
      <c r="B23" s="201">
        <f>'housing proportion projections'!L12</f>
        <v>157.47082833133254</v>
      </c>
      <c r="C23" s="201">
        <f>'housing proportion projections'!M12</f>
        <v>157.47082833133254</v>
      </c>
      <c r="D23" s="201">
        <f>'housing proportion projections'!N12</f>
        <v>157.47082833133254</v>
      </c>
      <c r="E23" s="201">
        <f>'housing proportion projections'!O12</f>
        <v>157.47082833133254</v>
      </c>
      <c r="F23" s="201">
        <f>'housing proportion projections'!P12</f>
        <v>157.47082833133254</v>
      </c>
      <c r="G23" s="201">
        <f>'housing proportion projections'!Q12</f>
        <v>157.47082833133254</v>
      </c>
      <c r="H23" s="201">
        <f>'housing proportion projections'!R12</f>
        <v>157.47082833133254</v>
      </c>
      <c r="I23" s="201">
        <f>'housing proportion projections'!S12</f>
        <v>157.47082833133254</v>
      </c>
      <c r="J23" s="201">
        <f>'housing proportion projections'!T12</f>
        <v>157.47082833133254</v>
      </c>
      <c r="K23" s="201">
        <f>'housing proportion projections'!U12</f>
        <v>157.47082833133254</v>
      </c>
      <c r="L23" s="186">
        <f t="shared" si="4"/>
        <v>1574.7082833133254</v>
      </c>
      <c r="M23" s="159"/>
      <c r="N23" s="168"/>
      <c r="O23" s="147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51"/>
      <c r="AB23" s="168"/>
      <c r="AC23" s="168"/>
      <c r="AD23" s="168"/>
      <c r="AE23" s="151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</row>
    <row r="24" spans="1:67" s="158" customFormat="1" x14ac:dyDescent="0.35">
      <c r="A24" s="187" t="s">
        <v>26</v>
      </c>
      <c r="B24" s="201">
        <f>'housing proportion projections'!L13</f>
        <v>156.45450180072029</v>
      </c>
      <c r="C24" s="201">
        <f>'housing proportion projections'!M13</f>
        <v>156.45450180072029</v>
      </c>
      <c r="D24" s="201">
        <f>'housing proportion projections'!N13</f>
        <v>156.45450180072029</v>
      </c>
      <c r="E24" s="201">
        <f>'housing proportion projections'!O13</f>
        <v>156.45450180072029</v>
      </c>
      <c r="F24" s="201">
        <f>'housing proportion projections'!P13</f>
        <v>156.45450180072029</v>
      </c>
      <c r="G24" s="201">
        <f>'housing proportion projections'!Q13</f>
        <v>156.45450180072029</v>
      </c>
      <c r="H24" s="201">
        <f>'housing proportion projections'!R13</f>
        <v>156.45450180072029</v>
      </c>
      <c r="I24" s="201">
        <f>'housing proportion projections'!S13</f>
        <v>156.45450180072029</v>
      </c>
      <c r="J24" s="201">
        <f>'housing proportion projections'!T13</f>
        <v>156.45450180072029</v>
      </c>
      <c r="K24" s="201">
        <f>'housing proportion projections'!U13</f>
        <v>156.45450180072029</v>
      </c>
      <c r="L24" s="186">
        <f t="shared" si="4"/>
        <v>1564.5450180072028</v>
      </c>
      <c r="M24" s="167"/>
      <c r="N24" s="168"/>
      <c r="O24" s="147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51"/>
      <c r="AB24" s="168"/>
      <c r="AC24" s="168"/>
      <c r="AD24" s="168"/>
      <c r="AE24" s="151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</row>
    <row r="25" spans="1:67" s="152" customFormat="1" ht="15.75" customHeight="1" thickBot="1" x14ac:dyDescent="0.4">
      <c r="A25" s="190" t="s">
        <v>22</v>
      </c>
      <c r="B25" s="201">
        <f>'housing proportion projections'!L14</f>
        <v>74.251620648259305</v>
      </c>
      <c r="C25" s="201">
        <f>'housing proportion projections'!M14</f>
        <v>74.251620648259305</v>
      </c>
      <c r="D25" s="201">
        <f>'housing proportion projections'!N14</f>
        <v>74.251620648259305</v>
      </c>
      <c r="E25" s="201">
        <f>'housing proportion projections'!O14</f>
        <v>74.251620648259305</v>
      </c>
      <c r="F25" s="201">
        <f>'housing proportion projections'!P14</f>
        <v>74.251620648259305</v>
      </c>
      <c r="G25" s="201">
        <f>'housing proportion projections'!Q14</f>
        <v>74.251620648259305</v>
      </c>
      <c r="H25" s="201">
        <f>'housing proportion projections'!R14</f>
        <v>74.251620648259305</v>
      </c>
      <c r="I25" s="201">
        <f>'housing proportion projections'!S14</f>
        <v>74.251620648259305</v>
      </c>
      <c r="J25" s="201">
        <f>'housing proportion projections'!T14</f>
        <v>74.251620648259305</v>
      </c>
      <c r="K25" s="201">
        <f>'housing proportion projections'!U14</f>
        <v>74.251620648259305</v>
      </c>
      <c r="L25" s="186">
        <f t="shared" si="4"/>
        <v>742.51620648259302</v>
      </c>
      <c r="M25" s="159"/>
      <c r="N25" s="168"/>
      <c r="O25" s="344" t="s">
        <v>109</v>
      </c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171"/>
      <c r="AB25" s="344" t="s">
        <v>124</v>
      </c>
      <c r="AC25" s="344"/>
      <c r="AD25" s="344"/>
      <c r="AE25" s="171"/>
      <c r="AF25" s="345" t="s">
        <v>124</v>
      </c>
      <c r="AG25" s="345"/>
      <c r="AH25" s="345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</row>
    <row r="26" spans="1:67" s="156" customFormat="1" ht="15" thickBot="1" x14ac:dyDescent="0.4">
      <c r="A26" s="179"/>
      <c r="B26" s="179"/>
      <c r="C26" s="179"/>
      <c r="D26" s="212"/>
      <c r="E26" s="179"/>
      <c r="F26" s="179"/>
      <c r="G26" s="179"/>
      <c r="H26" s="179"/>
      <c r="I26" s="179"/>
      <c r="J26" s="179"/>
      <c r="K26" s="179"/>
      <c r="L26" s="179"/>
      <c r="M26" s="161"/>
      <c r="N26" s="168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171"/>
      <c r="AB26" s="344"/>
      <c r="AC26" s="344"/>
      <c r="AD26" s="344"/>
      <c r="AE26" s="171"/>
      <c r="AF26" s="345"/>
      <c r="AG26" s="345"/>
      <c r="AH26" s="345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  <c r="BI26" s="168"/>
      <c r="BJ26" s="168"/>
      <c r="BK26" s="168"/>
      <c r="BL26" s="168"/>
      <c r="BM26" s="168"/>
      <c r="BN26" s="168"/>
      <c r="BO26" s="168"/>
    </row>
    <row r="27" spans="1:67" s="155" customFormat="1" x14ac:dyDescent="0.35">
      <c r="A27" s="191" t="s">
        <v>134</v>
      </c>
      <c r="B27" s="192"/>
      <c r="C27" s="192"/>
      <c r="D27" s="213"/>
      <c r="E27" s="192"/>
      <c r="F27" s="192"/>
      <c r="G27" s="192"/>
      <c r="H27" s="192"/>
      <c r="I27" s="192"/>
      <c r="J27" s="192"/>
      <c r="K27" s="192"/>
      <c r="L27" s="192"/>
      <c r="M27" s="162"/>
      <c r="N27" s="168"/>
      <c r="O27" s="173" t="s">
        <v>70</v>
      </c>
      <c r="P27" s="172"/>
      <c r="Q27" s="172"/>
      <c r="R27" s="172"/>
      <c r="S27" s="172"/>
      <c r="T27" s="172"/>
      <c r="U27" s="172"/>
      <c r="V27" s="172"/>
      <c r="W27" s="172"/>
      <c r="X27" s="174">
        <f>X17-(X17*0.31)</f>
        <v>1172.4512598360002</v>
      </c>
      <c r="Y27" s="174"/>
      <c r="Z27" s="174"/>
      <c r="AA27" s="175"/>
      <c r="AB27" s="174">
        <f>AB17-(AB17*0.8)</f>
        <v>338.7023999999999</v>
      </c>
      <c r="AC27" s="174"/>
      <c r="AD27" s="174"/>
      <c r="AE27" s="175"/>
      <c r="AF27" s="174">
        <f>AF17-(AF17*0.8)</f>
        <v>335.0797571999999</v>
      </c>
      <c r="AG27" s="174"/>
      <c r="AH27" s="174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</row>
    <row r="28" spans="1:67" s="155" customFormat="1" x14ac:dyDescent="0.35">
      <c r="A28" s="193" t="s">
        <v>112</v>
      </c>
      <c r="B28" s="214">
        <f>((B22*$AB$27)+(B23*$AB$28)+(B24*$AB$29)+(B25*$AB$30))*30</f>
        <v>4009497.654035511</v>
      </c>
      <c r="C28" s="214">
        <f>((C22*$AB$27)+(C23*$AB$28)+(C24*$AB$29)+(C25*$AB$30))*30</f>
        <v>4009497.654035511</v>
      </c>
      <c r="D28" s="214">
        <f>((D22*$AF$27)+(D23*$AF$28)+(D24*$AF$29)+(D25*$AF$30))*30</f>
        <v>3962368.9923046641</v>
      </c>
      <c r="E28" s="214">
        <f t="shared" ref="E28:K28" si="5">((E22*$AF$27)+(E23*$AF$28)+(E24*$AF$29)+(E25*$AF$30))*30</f>
        <v>3962368.9923046641</v>
      </c>
      <c r="F28" s="214">
        <f t="shared" si="5"/>
        <v>3962368.9923046641</v>
      </c>
      <c r="G28" s="214">
        <f t="shared" si="5"/>
        <v>3962368.9923046641</v>
      </c>
      <c r="H28" s="214">
        <f t="shared" si="5"/>
        <v>3962368.9923046641</v>
      </c>
      <c r="I28" s="214">
        <f t="shared" si="5"/>
        <v>3962368.9923046641</v>
      </c>
      <c r="J28" s="214">
        <f t="shared" si="5"/>
        <v>3962368.9923046641</v>
      </c>
      <c r="K28" s="214">
        <f t="shared" si="5"/>
        <v>3962368.9923046641</v>
      </c>
      <c r="L28" s="214">
        <f>SUM(B28:K28)</f>
        <v>39717947.24650833</v>
      </c>
      <c r="M28" s="163"/>
      <c r="N28" s="168"/>
      <c r="O28" s="173" t="s">
        <v>69</v>
      </c>
      <c r="P28" s="172"/>
      <c r="Q28" s="172"/>
      <c r="R28" s="172"/>
      <c r="S28" s="172"/>
      <c r="T28" s="172"/>
      <c r="U28" s="172"/>
      <c r="V28" s="172"/>
      <c r="W28" s="172"/>
      <c r="X28" s="174">
        <f t="shared" ref="X28:X30" si="6">X18-(X18*0.31)</f>
        <v>889.38102000000003</v>
      </c>
      <c r="Y28" s="174"/>
      <c r="Z28" s="174"/>
      <c r="AA28" s="175"/>
      <c r="AB28" s="174">
        <f>AB18-(AB18*0.8)</f>
        <v>256.81700000000001</v>
      </c>
      <c r="AC28" s="174"/>
      <c r="AD28" s="174"/>
      <c r="AE28" s="175"/>
      <c r="AF28" s="174">
        <f>AF18-(AF18*0.8)</f>
        <v>253.71599999999989</v>
      </c>
      <c r="AG28" s="174"/>
      <c r="AH28" s="174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8"/>
      <c r="BN28" s="168"/>
      <c r="BO28" s="168"/>
    </row>
    <row r="29" spans="1:67" s="155" customFormat="1" x14ac:dyDescent="0.35">
      <c r="A29" s="193" t="s">
        <v>113</v>
      </c>
      <c r="B29" s="214">
        <f t="shared" ref="B29" si="7">B28/1000</f>
        <v>4009.497654035511</v>
      </c>
      <c r="C29" s="214">
        <f t="shared" ref="C29" si="8">C28/1000</f>
        <v>4009.497654035511</v>
      </c>
      <c r="D29" s="214">
        <f t="shared" ref="D29" si="9">D28/1000</f>
        <v>3962.3689923046641</v>
      </c>
      <c r="E29" s="214">
        <f t="shared" ref="E29" si="10">E28/1000</f>
        <v>3962.3689923046641</v>
      </c>
      <c r="F29" s="214">
        <f t="shared" ref="F29" si="11">F28/1000</f>
        <v>3962.3689923046641</v>
      </c>
      <c r="G29" s="214">
        <f t="shared" ref="G29" si="12">G28/1000</f>
        <v>3962.3689923046641</v>
      </c>
      <c r="H29" s="214">
        <f t="shared" ref="H29" si="13">H28/1000</f>
        <v>3962.3689923046641</v>
      </c>
      <c r="I29" s="214">
        <f t="shared" ref="I29" si="14">I28/1000</f>
        <v>3962.3689923046641</v>
      </c>
      <c r="J29" s="214">
        <f t="shared" ref="J29" si="15">J28/1000</f>
        <v>3962.3689923046641</v>
      </c>
      <c r="K29" s="214">
        <f t="shared" ref="K29" si="16">K28/1000</f>
        <v>3962.3689923046641</v>
      </c>
      <c r="L29" s="214">
        <f t="shared" ref="L29" si="17">L28/1000</f>
        <v>39717.947246508331</v>
      </c>
      <c r="M29" s="162"/>
      <c r="N29" s="168"/>
      <c r="O29" s="173" t="s">
        <v>65</v>
      </c>
      <c r="P29" s="172"/>
      <c r="Q29" s="172"/>
      <c r="R29" s="172"/>
      <c r="S29" s="172"/>
      <c r="T29" s="172"/>
      <c r="U29" s="172"/>
      <c r="V29" s="172"/>
      <c r="W29" s="172"/>
      <c r="X29" s="174">
        <f t="shared" si="6"/>
        <v>971.77099702200007</v>
      </c>
      <c r="Y29" s="174"/>
      <c r="Z29" s="174"/>
      <c r="AA29" s="175"/>
      <c r="AB29" s="174">
        <f>AB19-(AB19*0.8)</f>
        <v>280.64636739999992</v>
      </c>
      <c r="AC29" s="174"/>
      <c r="AD29" s="174"/>
      <c r="AE29" s="175"/>
      <c r="AF29" s="174">
        <f>AF19-(AF19*0.8)</f>
        <v>277.38059580000004</v>
      </c>
      <c r="AG29" s="174"/>
      <c r="AH29" s="174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8"/>
      <c r="BH29" s="168"/>
      <c r="BI29" s="168"/>
      <c r="BJ29" s="168"/>
      <c r="BK29" s="168"/>
      <c r="BL29" s="168"/>
      <c r="BM29" s="168"/>
      <c r="BN29" s="168"/>
      <c r="BO29" s="168"/>
    </row>
    <row r="30" spans="1:67" s="157" customFormat="1" ht="15" thickBot="1" x14ac:dyDescent="0.4">
      <c r="A30" s="193" t="s">
        <v>64</v>
      </c>
      <c r="B30" s="215">
        <f t="shared" ref="B30" si="18">B29*$X$3</f>
        <v>938222.45104430954</v>
      </c>
      <c r="C30" s="215">
        <f t="shared" ref="C30" si="19">C29*$X$3</f>
        <v>938222.45104430954</v>
      </c>
      <c r="D30" s="215">
        <f t="shared" ref="D30" si="20">D29*$X$3</f>
        <v>927194.34419929143</v>
      </c>
      <c r="E30" s="215">
        <f t="shared" ref="E30" si="21">E29*$X$3</f>
        <v>927194.34419929143</v>
      </c>
      <c r="F30" s="215">
        <f t="shared" ref="F30" si="22">F29*$X$3</f>
        <v>927194.34419929143</v>
      </c>
      <c r="G30" s="215">
        <f t="shared" ref="G30" si="23">G29*$X$3</f>
        <v>927194.34419929143</v>
      </c>
      <c r="H30" s="215">
        <f t="shared" ref="H30" si="24">H29*$X$3</f>
        <v>927194.34419929143</v>
      </c>
      <c r="I30" s="215">
        <f t="shared" ref="I30" si="25">I29*$X$3</f>
        <v>927194.34419929143</v>
      </c>
      <c r="J30" s="215">
        <f t="shared" ref="J30" si="26">J29*$X$3</f>
        <v>927194.34419929143</v>
      </c>
      <c r="K30" s="215">
        <f t="shared" ref="K30" si="27">K29*$X$3</f>
        <v>927194.34419929143</v>
      </c>
      <c r="L30" s="215">
        <f t="shared" ref="L30" si="28">L29*$X$3</f>
        <v>9293999.6556829493</v>
      </c>
      <c r="M30" s="164"/>
      <c r="N30" s="168"/>
      <c r="O30" s="173" t="s">
        <v>66</v>
      </c>
      <c r="P30" s="172"/>
      <c r="Q30" s="172"/>
      <c r="R30" s="172"/>
      <c r="S30" s="172"/>
      <c r="T30" s="172"/>
      <c r="U30" s="172"/>
      <c r="V30" s="172"/>
      <c r="W30" s="172"/>
      <c r="X30" s="174">
        <f t="shared" si="6"/>
        <v>564.88880369849994</v>
      </c>
      <c r="Y30" s="174"/>
      <c r="Z30" s="174"/>
      <c r="AA30" s="175"/>
      <c r="AB30" s="174">
        <f>AB20-(AB20*0.8)</f>
        <v>163.00005354999996</v>
      </c>
      <c r="AC30" s="174"/>
      <c r="AD30" s="174"/>
      <c r="AE30" s="175"/>
      <c r="AF30" s="174">
        <f>AF20-(AF20*0.8)</f>
        <v>160.65877124999997</v>
      </c>
      <c r="AG30" s="174"/>
      <c r="AH30" s="174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</row>
    <row r="31" spans="1:67" s="152" customFormat="1" ht="15.75" customHeight="1" x14ac:dyDescent="0.35">
      <c r="A31" s="193"/>
      <c r="B31" s="194"/>
      <c r="C31" s="194"/>
      <c r="D31" s="214"/>
      <c r="E31" s="194"/>
      <c r="F31" s="194"/>
      <c r="G31" s="194"/>
      <c r="H31" s="194"/>
      <c r="I31" s="194"/>
      <c r="J31" s="194"/>
      <c r="K31" s="194"/>
      <c r="L31" s="194"/>
      <c r="M31" s="159"/>
      <c r="N31" s="168"/>
      <c r="O31" s="173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83"/>
      <c r="AB31" s="174"/>
      <c r="AC31" s="172"/>
      <c r="AD31" s="172"/>
      <c r="AE31" s="83"/>
      <c r="AF31" s="174"/>
      <c r="AG31" s="172"/>
      <c r="AH31" s="172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</row>
    <row r="32" spans="1:67" s="152" customFormat="1" ht="15" thickBot="1" x14ac:dyDescent="0.4">
      <c r="A32" s="197"/>
      <c r="B32" s="198"/>
      <c r="C32" s="198"/>
      <c r="D32" s="216"/>
      <c r="E32" s="198"/>
      <c r="F32" s="198"/>
      <c r="G32" s="198"/>
      <c r="H32" s="198"/>
      <c r="I32" s="198"/>
      <c r="J32" s="198"/>
      <c r="K32" s="198"/>
      <c r="L32" s="198"/>
      <c r="M32" s="159"/>
      <c r="N32" s="168"/>
      <c r="O32" s="173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83"/>
      <c r="AB32" s="172"/>
      <c r="AC32" s="172"/>
      <c r="AD32" s="172"/>
      <c r="AE32" s="83"/>
      <c r="AF32" s="172"/>
      <c r="AG32" s="172"/>
      <c r="AH32" s="172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</row>
    <row r="33" spans="1:67" s="152" customFormat="1" x14ac:dyDescent="0.35">
      <c r="A33" s="187"/>
      <c r="B33" s="179"/>
      <c r="C33" s="179"/>
      <c r="D33" s="212"/>
      <c r="E33" s="179"/>
      <c r="F33" s="179"/>
      <c r="G33" s="179"/>
      <c r="H33" s="179"/>
      <c r="I33" s="179"/>
      <c r="J33" s="179"/>
      <c r="K33" s="179"/>
      <c r="L33" s="179"/>
      <c r="M33" s="159"/>
      <c r="N33" s="168"/>
      <c r="O33" s="158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83"/>
      <c r="AB33" s="172"/>
      <c r="AC33" s="172"/>
      <c r="AD33" s="172"/>
      <c r="AE33" s="83"/>
      <c r="AF33" s="172"/>
      <c r="AG33" s="172"/>
      <c r="AH33" s="172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8"/>
      <c r="BG33" s="168"/>
      <c r="BH33" s="168"/>
      <c r="BI33" s="168"/>
      <c r="BJ33" s="168"/>
      <c r="BK33" s="168"/>
      <c r="BL33" s="168"/>
      <c r="BM33" s="168"/>
      <c r="BN33" s="168"/>
      <c r="BO33" s="168"/>
    </row>
    <row r="34" spans="1:67" s="152" customFormat="1" x14ac:dyDescent="0.35">
      <c r="A34" s="187"/>
      <c r="B34" s="179"/>
      <c r="C34" s="179"/>
      <c r="D34" s="212"/>
      <c r="E34" s="179"/>
      <c r="F34" s="179"/>
      <c r="G34" s="179"/>
      <c r="H34" s="179"/>
      <c r="I34" s="179"/>
      <c r="J34" s="179"/>
      <c r="K34" s="179"/>
      <c r="L34" s="179"/>
      <c r="M34" s="160"/>
      <c r="N34" s="168"/>
      <c r="O34" s="147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51"/>
      <c r="AB34" s="168"/>
      <c r="AC34" s="168"/>
      <c r="AD34" s="168"/>
      <c r="AE34" s="151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8"/>
      <c r="BG34" s="168"/>
      <c r="BH34" s="168"/>
      <c r="BI34" s="168"/>
      <c r="BJ34" s="168"/>
      <c r="BK34" s="168"/>
      <c r="BL34" s="168"/>
      <c r="BM34" s="168"/>
      <c r="BN34" s="168"/>
      <c r="BO34" s="168"/>
    </row>
    <row r="35" spans="1:67" s="152" customFormat="1" x14ac:dyDescent="0.35">
      <c r="A35" s="180" t="s">
        <v>0</v>
      </c>
      <c r="B35" s="182" t="s">
        <v>10</v>
      </c>
      <c r="C35" s="182" t="s">
        <v>11</v>
      </c>
      <c r="D35" s="209" t="s">
        <v>12</v>
      </c>
      <c r="E35" s="182" t="s">
        <v>13</v>
      </c>
      <c r="F35" s="182" t="s">
        <v>14</v>
      </c>
      <c r="G35" s="182" t="s">
        <v>15</v>
      </c>
      <c r="H35" s="182" t="s">
        <v>16</v>
      </c>
      <c r="I35" s="183" t="s">
        <v>17</v>
      </c>
      <c r="J35" s="184" t="s">
        <v>23</v>
      </c>
      <c r="K35" s="184" t="s">
        <v>24</v>
      </c>
      <c r="L35" s="185" t="s">
        <v>18</v>
      </c>
      <c r="M35" s="159"/>
      <c r="N35" s="168"/>
      <c r="O35" s="147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51"/>
      <c r="AB35" s="168"/>
      <c r="AC35" s="168"/>
      <c r="AD35" s="168"/>
      <c r="AE35" s="151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</row>
    <row r="36" spans="1:67" s="152" customFormat="1" x14ac:dyDescent="0.35">
      <c r="A36" s="154" t="s">
        <v>53</v>
      </c>
      <c r="B36" s="199">
        <v>2870</v>
      </c>
      <c r="C36" s="199">
        <v>2870</v>
      </c>
      <c r="D36" s="217">
        <v>2870</v>
      </c>
      <c r="E36" s="199">
        <v>2870</v>
      </c>
      <c r="F36" s="199">
        <v>2870</v>
      </c>
      <c r="G36" s="199">
        <v>2870</v>
      </c>
      <c r="H36" s="199">
        <v>2870</v>
      </c>
      <c r="I36" s="199">
        <v>2870</v>
      </c>
      <c r="J36" s="199">
        <v>2870</v>
      </c>
      <c r="K36" s="199">
        <v>2870</v>
      </c>
      <c r="L36" s="186">
        <f>SUM(B36:K36)</f>
        <v>28700</v>
      </c>
      <c r="M36" s="159"/>
      <c r="N36" s="168"/>
      <c r="O36" s="147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51"/>
      <c r="AB36" s="168"/>
      <c r="AC36" s="168"/>
      <c r="AD36" s="168"/>
      <c r="AE36" s="151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</row>
    <row r="37" spans="1:67" s="152" customFormat="1" x14ac:dyDescent="0.35">
      <c r="A37" s="187" t="s">
        <v>20</v>
      </c>
      <c r="B37" s="201">
        <f>'housing proportion projections'!L16</f>
        <v>112.33585858585859</v>
      </c>
      <c r="C37" s="201">
        <f>'housing proportion projections'!M16</f>
        <v>112.33585858585859</v>
      </c>
      <c r="D37" s="201">
        <f>'housing proportion projections'!N16</f>
        <v>112.33585858585859</v>
      </c>
      <c r="E37" s="201">
        <f>'housing proportion projections'!O16</f>
        <v>112.33585858585859</v>
      </c>
      <c r="F37" s="201">
        <f>'housing proportion projections'!P16</f>
        <v>112.33585858585859</v>
      </c>
      <c r="G37" s="201">
        <f>'housing proportion projections'!Q16</f>
        <v>112.33585858585859</v>
      </c>
      <c r="H37" s="201">
        <f>'housing proportion projections'!R16</f>
        <v>112.33585858585859</v>
      </c>
      <c r="I37" s="201">
        <f>'housing proportion projections'!S16</f>
        <v>112.33585858585859</v>
      </c>
      <c r="J37" s="201">
        <f>'housing proportion projections'!T16</f>
        <v>112.33585858585859</v>
      </c>
      <c r="K37" s="201">
        <f>'housing proportion projections'!U16</f>
        <v>112.33585858585859</v>
      </c>
      <c r="L37" s="186">
        <f t="shared" ref="L37:L40" si="29">SUM(B37:K37)</f>
        <v>1123.3585858585857</v>
      </c>
      <c r="M37" s="159"/>
      <c r="N37" s="168"/>
      <c r="O37" s="147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51"/>
      <c r="AB37" s="168"/>
      <c r="AC37" s="168"/>
      <c r="AD37" s="168"/>
      <c r="AE37" s="151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</row>
    <row r="38" spans="1:67" s="158" customFormat="1" x14ac:dyDescent="0.35">
      <c r="A38" s="187" t="s">
        <v>21</v>
      </c>
      <c r="B38" s="201">
        <f>'housing proportion projections'!L17</f>
        <v>694.13314176245206</v>
      </c>
      <c r="C38" s="201">
        <f>'housing proportion projections'!M17</f>
        <v>694.13314176245206</v>
      </c>
      <c r="D38" s="201">
        <f>'housing proportion projections'!N17</f>
        <v>694.13314176245206</v>
      </c>
      <c r="E38" s="201">
        <f>'housing proportion projections'!O17</f>
        <v>694.13314176245206</v>
      </c>
      <c r="F38" s="201">
        <f>'housing proportion projections'!P17</f>
        <v>694.13314176245206</v>
      </c>
      <c r="G38" s="201">
        <f>'housing proportion projections'!Q17</f>
        <v>694.13314176245206</v>
      </c>
      <c r="H38" s="201">
        <f>'housing proportion projections'!R17</f>
        <v>694.13314176245206</v>
      </c>
      <c r="I38" s="201">
        <f>'housing proportion projections'!S17</f>
        <v>694.13314176245206</v>
      </c>
      <c r="J38" s="201">
        <f>'housing proportion projections'!T17</f>
        <v>694.13314176245206</v>
      </c>
      <c r="K38" s="201">
        <f>'housing proportion projections'!U17</f>
        <v>694.13314176245206</v>
      </c>
      <c r="L38" s="186">
        <f t="shared" si="29"/>
        <v>6941.3314176245221</v>
      </c>
      <c r="M38" s="167"/>
      <c r="N38" s="168"/>
      <c r="O38" s="147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51"/>
      <c r="AB38" s="168"/>
      <c r="AC38" s="168"/>
      <c r="AD38" s="168"/>
      <c r="AE38" s="151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</row>
    <row r="39" spans="1:67" s="152" customFormat="1" ht="15" thickBot="1" x14ac:dyDescent="0.4">
      <c r="A39" s="187" t="s">
        <v>26</v>
      </c>
      <c r="B39" s="201">
        <f>'housing proportion projections'!L18</f>
        <v>999.02690700104483</v>
      </c>
      <c r="C39" s="201">
        <f>'housing proportion projections'!M18</f>
        <v>999.02690700104483</v>
      </c>
      <c r="D39" s="201">
        <f>'housing proportion projections'!N18</f>
        <v>999.02690700104483</v>
      </c>
      <c r="E39" s="201">
        <f>'housing proportion projections'!O18</f>
        <v>999.02690700104483</v>
      </c>
      <c r="F39" s="201">
        <f>'housing proportion projections'!P18</f>
        <v>999.02690700104483</v>
      </c>
      <c r="G39" s="201">
        <f>'housing proportion projections'!Q18</f>
        <v>999.02690700104483</v>
      </c>
      <c r="H39" s="201">
        <f>'housing proportion projections'!R18</f>
        <v>999.02690700104483</v>
      </c>
      <c r="I39" s="201">
        <f>'housing proportion projections'!S18</f>
        <v>999.02690700104483</v>
      </c>
      <c r="J39" s="201">
        <f>'housing proportion projections'!T18</f>
        <v>999.02690700104483</v>
      </c>
      <c r="K39" s="201">
        <f>'housing proportion projections'!U18</f>
        <v>999.02690700104483</v>
      </c>
      <c r="L39" s="186">
        <f t="shared" si="29"/>
        <v>9990.2690700104486</v>
      </c>
      <c r="M39" s="159"/>
      <c r="N39" s="168"/>
      <c r="O39" s="147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51"/>
      <c r="AB39" s="168"/>
      <c r="AC39" s="168"/>
      <c r="AD39" s="168"/>
      <c r="AE39" s="151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68"/>
      <c r="BJ39" s="168"/>
      <c r="BK39" s="168"/>
      <c r="BL39" s="168"/>
      <c r="BM39" s="168"/>
      <c r="BN39" s="168"/>
      <c r="BO39" s="168"/>
    </row>
    <row r="40" spans="1:67" s="156" customFormat="1" x14ac:dyDescent="0.35">
      <c r="A40" s="190" t="s">
        <v>22</v>
      </c>
      <c r="B40" s="201">
        <f>'housing proportion projections'!L19</f>
        <v>1064.6290491118077</v>
      </c>
      <c r="C40" s="201">
        <f>'housing proportion projections'!M19</f>
        <v>1064.6290491118077</v>
      </c>
      <c r="D40" s="201">
        <f>'housing proportion projections'!N19</f>
        <v>1064.6290491118077</v>
      </c>
      <c r="E40" s="201">
        <f>'housing proportion projections'!O19</f>
        <v>1064.6290491118077</v>
      </c>
      <c r="F40" s="201">
        <f>'housing proportion projections'!P19</f>
        <v>1064.6290491118077</v>
      </c>
      <c r="G40" s="201">
        <f>'housing proportion projections'!Q19</f>
        <v>1064.6290491118077</v>
      </c>
      <c r="H40" s="201">
        <f>'housing proportion projections'!R19</f>
        <v>1064.6290491118077</v>
      </c>
      <c r="I40" s="201">
        <f>'housing proportion projections'!S19</f>
        <v>1064.6290491118077</v>
      </c>
      <c r="J40" s="201">
        <f>'housing proportion projections'!T19</f>
        <v>1064.6290491118077</v>
      </c>
      <c r="K40" s="201">
        <f>'housing proportion projections'!U19</f>
        <v>1064.6290491118077</v>
      </c>
      <c r="L40" s="186">
        <f t="shared" si="29"/>
        <v>10646.290491118076</v>
      </c>
      <c r="M40" s="161"/>
      <c r="N40" s="168"/>
      <c r="O40" s="147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51"/>
      <c r="AB40" s="168"/>
      <c r="AC40" s="168"/>
      <c r="AD40" s="168"/>
      <c r="AE40" s="151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8"/>
      <c r="BC40" s="168"/>
      <c r="BD40" s="168"/>
      <c r="BE40" s="168"/>
      <c r="BF40" s="168"/>
      <c r="BG40" s="168"/>
      <c r="BH40" s="168"/>
      <c r="BI40" s="168"/>
      <c r="BJ40" s="168"/>
      <c r="BK40" s="168"/>
      <c r="BL40" s="168"/>
      <c r="BM40" s="168"/>
      <c r="BN40" s="168"/>
      <c r="BO40" s="168"/>
    </row>
    <row r="41" spans="1:67" s="155" customFormat="1" ht="15" thickBot="1" x14ac:dyDescent="0.4">
      <c r="A41" s="179"/>
      <c r="B41" s="179"/>
      <c r="C41" s="179"/>
      <c r="D41" s="212"/>
      <c r="E41" s="179"/>
      <c r="F41" s="179"/>
      <c r="G41" s="179"/>
      <c r="H41" s="179"/>
      <c r="I41" s="179"/>
      <c r="J41" s="179"/>
      <c r="K41" s="179"/>
      <c r="L41" s="179"/>
      <c r="M41" s="162"/>
      <c r="N41" s="168"/>
      <c r="O41" s="147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51"/>
      <c r="AB41" s="168"/>
      <c r="AC41" s="168"/>
      <c r="AD41" s="168"/>
      <c r="AE41" s="151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68"/>
      <c r="BD41" s="168"/>
      <c r="BE41" s="168"/>
      <c r="BF41" s="168"/>
      <c r="BG41" s="168"/>
      <c r="BH41" s="168"/>
      <c r="BI41" s="168"/>
      <c r="BJ41" s="168"/>
      <c r="BK41" s="168"/>
      <c r="BL41" s="168"/>
      <c r="BM41" s="168"/>
      <c r="BN41" s="168"/>
      <c r="BO41" s="168"/>
    </row>
    <row r="42" spans="1:67" s="155" customFormat="1" x14ac:dyDescent="0.35">
      <c r="A42" s="191" t="s">
        <v>134</v>
      </c>
      <c r="B42" s="192"/>
      <c r="C42" s="192"/>
      <c r="D42" s="213"/>
      <c r="E42" s="192"/>
      <c r="F42" s="192"/>
      <c r="G42" s="192"/>
      <c r="H42" s="192"/>
      <c r="I42" s="192"/>
      <c r="J42" s="192"/>
      <c r="K42" s="192"/>
      <c r="L42" s="192"/>
      <c r="M42" s="163"/>
      <c r="N42" s="168"/>
      <c r="O42" s="147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51"/>
      <c r="AB42" s="168"/>
      <c r="AC42" s="168"/>
      <c r="AD42" s="168"/>
      <c r="AE42" s="151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68"/>
      <c r="BD42" s="168"/>
      <c r="BE42" s="168"/>
      <c r="BF42" s="168"/>
      <c r="BG42" s="168"/>
      <c r="BH42" s="168"/>
      <c r="BI42" s="168"/>
      <c r="BJ42" s="168"/>
      <c r="BK42" s="168"/>
      <c r="BL42" s="168"/>
      <c r="BM42" s="168"/>
      <c r="BN42" s="168"/>
      <c r="BO42" s="168"/>
    </row>
    <row r="43" spans="1:67" s="155" customFormat="1" x14ac:dyDescent="0.35">
      <c r="A43" s="193" t="s">
        <v>112</v>
      </c>
      <c r="B43" s="214">
        <f>((B37*$AB$27)+(B38*$AB$28)+(B39*$AB$29)+(B40*$AB$30))*30</f>
        <v>20106644.411337286</v>
      </c>
      <c r="C43" s="214">
        <f>((C37*$AB$27)+(C38*$AB$28)+(C39*$AB$29)+(C40*$AB$30))*30</f>
        <v>20106644.411337286</v>
      </c>
      <c r="D43" s="214">
        <f>((D37*$AF$27)+(D38*$AF$28)+(D39*$AF$29)+(D40*$AF$30))*30</f>
        <v>19857204.899002358</v>
      </c>
      <c r="E43" s="214">
        <f t="shared" ref="E43:K43" si="30">((E37*$AF$27)+(E38*$AF$28)+(E39*$AF$29)+(E40*$AF$30))*30</f>
        <v>19857204.899002358</v>
      </c>
      <c r="F43" s="214">
        <f t="shared" si="30"/>
        <v>19857204.899002358</v>
      </c>
      <c r="G43" s="214">
        <f t="shared" si="30"/>
        <v>19857204.899002358</v>
      </c>
      <c r="H43" s="214">
        <f t="shared" si="30"/>
        <v>19857204.899002358</v>
      </c>
      <c r="I43" s="214">
        <f t="shared" si="30"/>
        <v>19857204.899002358</v>
      </c>
      <c r="J43" s="214">
        <f t="shared" si="30"/>
        <v>19857204.899002358</v>
      </c>
      <c r="K43" s="214">
        <f t="shared" si="30"/>
        <v>19857204.899002358</v>
      </c>
      <c r="L43" s="214">
        <f>SUM(B43:K43)</f>
        <v>199070928.0146935</v>
      </c>
      <c r="M43" s="162"/>
      <c r="N43" s="168"/>
      <c r="O43" s="147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51"/>
      <c r="AB43" s="168"/>
      <c r="AC43" s="168"/>
      <c r="AD43" s="168"/>
      <c r="AE43" s="151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68"/>
      <c r="BD43" s="168"/>
      <c r="BE43" s="168"/>
      <c r="BF43" s="168"/>
      <c r="BG43" s="168"/>
      <c r="BH43" s="168"/>
      <c r="BI43" s="168"/>
      <c r="BJ43" s="168"/>
      <c r="BK43" s="168"/>
      <c r="BL43" s="168"/>
      <c r="BM43" s="168"/>
      <c r="BN43" s="168"/>
      <c r="BO43" s="168"/>
    </row>
    <row r="44" spans="1:67" s="157" customFormat="1" ht="15" thickBot="1" x14ac:dyDescent="0.4">
      <c r="A44" s="193" t="s">
        <v>113</v>
      </c>
      <c r="B44" s="214">
        <f t="shared" ref="B44" si="31">B43/1000</f>
        <v>20106.644411337285</v>
      </c>
      <c r="C44" s="214">
        <f t="shared" ref="C44" si="32">C43/1000</f>
        <v>20106.644411337285</v>
      </c>
      <c r="D44" s="214">
        <f t="shared" ref="D44" si="33">D43/1000</f>
        <v>19857.204899002358</v>
      </c>
      <c r="E44" s="214">
        <f t="shared" ref="E44" si="34">E43/1000</f>
        <v>19857.204899002358</v>
      </c>
      <c r="F44" s="214">
        <f t="shared" ref="F44" si="35">F43/1000</f>
        <v>19857.204899002358</v>
      </c>
      <c r="G44" s="214">
        <f t="shared" ref="G44" si="36">G43/1000</f>
        <v>19857.204899002358</v>
      </c>
      <c r="H44" s="214">
        <f t="shared" ref="H44" si="37">H43/1000</f>
        <v>19857.204899002358</v>
      </c>
      <c r="I44" s="214">
        <f t="shared" ref="I44" si="38">I43/1000</f>
        <v>19857.204899002358</v>
      </c>
      <c r="J44" s="214">
        <f t="shared" ref="J44" si="39">J43/1000</f>
        <v>19857.204899002358</v>
      </c>
      <c r="K44" s="214">
        <f t="shared" ref="K44" si="40">K43/1000</f>
        <v>19857.204899002358</v>
      </c>
      <c r="L44" s="214">
        <f t="shared" ref="L44" si="41">L43/1000</f>
        <v>199070.92801469349</v>
      </c>
      <c r="M44" s="164"/>
      <c r="N44" s="168"/>
      <c r="O44" s="147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51"/>
      <c r="AB44" s="168"/>
      <c r="AC44" s="168"/>
      <c r="AD44" s="168"/>
      <c r="AE44" s="151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</row>
    <row r="45" spans="1:67" s="152" customFormat="1" x14ac:dyDescent="0.35">
      <c r="A45" s="193" t="s">
        <v>64</v>
      </c>
      <c r="B45" s="215">
        <f t="shared" ref="B45" si="42">B44*$X$3</f>
        <v>4704954.7922529252</v>
      </c>
      <c r="C45" s="215">
        <f t="shared" ref="C45" si="43">C44*$X$3</f>
        <v>4704954.7922529252</v>
      </c>
      <c r="D45" s="215">
        <f t="shared" ref="D45" si="44">D44*$X$3</f>
        <v>4646585.9463665513</v>
      </c>
      <c r="E45" s="215">
        <f t="shared" ref="E45" si="45">E44*$X$3</f>
        <v>4646585.9463665513</v>
      </c>
      <c r="F45" s="215">
        <f t="shared" ref="F45" si="46">F44*$X$3</f>
        <v>4646585.9463665513</v>
      </c>
      <c r="G45" s="215">
        <f t="shared" ref="G45" si="47">G44*$X$3</f>
        <v>4646585.9463665513</v>
      </c>
      <c r="H45" s="215">
        <f t="shared" ref="H45" si="48">H44*$X$3</f>
        <v>4646585.9463665513</v>
      </c>
      <c r="I45" s="215">
        <f t="shared" ref="I45" si="49">I44*$X$3</f>
        <v>4646585.9463665513</v>
      </c>
      <c r="J45" s="215">
        <f t="shared" ref="J45" si="50">J44*$X$3</f>
        <v>4646585.9463665513</v>
      </c>
      <c r="K45" s="215">
        <f t="shared" ref="K45" si="51">K44*$X$3</f>
        <v>4646585.9463665513</v>
      </c>
      <c r="L45" s="215">
        <f t="shared" ref="L45" si="52">L44*$X$3</f>
        <v>46582597.155438274</v>
      </c>
      <c r="M45" s="159"/>
      <c r="N45" s="168"/>
      <c r="O45" s="147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51"/>
      <c r="AB45" s="168"/>
      <c r="AC45" s="168"/>
      <c r="AD45" s="168"/>
      <c r="AE45" s="151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8"/>
      <c r="BC45" s="168"/>
      <c r="BD45" s="168"/>
      <c r="BE45" s="168"/>
      <c r="BF45" s="168"/>
      <c r="BG45" s="168"/>
      <c r="BH45" s="168"/>
      <c r="BI45" s="168"/>
      <c r="BJ45" s="168"/>
      <c r="BK45" s="168"/>
      <c r="BL45" s="168"/>
      <c r="BM45" s="168"/>
      <c r="BN45" s="168"/>
      <c r="BO45" s="168"/>
    </row>
    <row r="46" spans="1:67" s="152" customFormat="1" x14ac:dyDescent="0.35">
      <c r="A46" s="193"/>
      <c r="B46" s="194"/>
      <c r="C46" s="194"/>
      <c r="D46" s="214"/>
      <c r="E46" s="194"/>
      <c r="F46" s="194"/>
      <c r="G46" s="194"/>
      <c r="H46" s="194"/>
      <c r="I46" s="194"/>
      <c r="J46" s="194"/>
      <c r="K46" s="194"/>
      <c r="L46" s="194"/>
      <c r="M46" s="159"/>
      <c r="N46" s="168"/>
      <c r="O46" s="147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51"/>
      <c r="AB46" s="168"/>
      <c r="AC46" s="168"/>
      <c r="AD46" s="168"/>
      <c r="AE46" s="151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</row>
    <row r="47" spans="1:67" s="152" customFormat="1" ht="15" thickBot="1" x14ac:dyDescent="0.4">
      <c r="A47" s="197"/>
      <c r="B47" s="198"/>
      <c r="C47" s="198"/>
      <c r="D47" s="216"/>
      <c r="E47" s="198"/>
      <c r="F47" s="198"/>
      <c r="G47" s="198"/>
      <c r="H47" s="198"/>
      <c r="I47" s="198"/>
      <c r="J47" s="198"/>
      <c r="K47" s="198"/>
      <c r="L47" s="198"/>
      <c r="M47" s="159"/>
      <c r="N47" s="168"/>
      <c r="O47" s="147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51"/>
      <c r="AB47" s="168"/>
      <c r="AC47" s="168"/>
      <c r="AD47" s="168"/>
      <c r="AE47" s="151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168"/>
      <c r="AT47" s="168"/>
      <c r="AU47" s="168"/>
      <c r="AV47" s="168"/>
      <c r="AW47" s="168"/>
      <c r="AX47" s="168"/>
      <c r="AY47" s="168"/>
      <c r="AZ47" s="168"/>
      <c r="BA47" s="168"/>
      <c r="BB47" s="168"/>
      <c r="BC47" s="168"/>
      <c r="BD47" s="168"/>
      <c r="BE47" s="168"/>
      <c r="BF47" s="168"/>
      <c r="BG47" s="168"/>
      <c r="BH47" s="168"/>
      <c r="BI47" s="168"/>
      <c r="BJ47" s="168"/>
      <c r="BK47" s="168"/>
      <c r="BL47" s="168"/>
      <c r="BM47" s="168"/>
      <c r="BN47" s="168"/>
      <c r="BO47" s="168"/>
    </row>
    <row r="48" spans="1:67" s="152" customFormat="1" x14ac:dyDescent="0.35">
      <c r="A48" s="154"/>
      <c r="B48" s="179"/>
      <c r="C48" s="179"/>
      <c r="D48" s="212"/>
      <c r="E48" s="179"/>
      <c r="F48" s="179"/>
      <c r="G48" s="179"/>
      <c r="H48" s="179"/>
      <c r="I48" s="179"/>
      <c r="J48" s="179"/>
      <c r="K48" s="179"/>
      <c r="L48" s="179"/>
      <c r="M48" s="160"/>
      <c r="N48" s="168"/>
      <c r="O48" s="147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51"/>
      <c r="AB48" s="168"/>
      <c r="AC48" s="168"/>
      <c r="AD48" s="168"/>
      <c r="AE48" s="151"/>
      <c r="AF48" s="168"/>
      <c r="AG48" s="168"/>
      <c r="AH48" s="168"/>
      <c r="AI48" s="168"/>
      <c r="AJ48" s="168"/>
      <c r="AK48" s="168"/>
      <c r="AL48" s="168"/>
      <c r="AM48" s="168"/>
      <c r="AN48" s="168"/>
      <c r="AO48" s="168"/>
      <c r="AP48" s="168"/>
      <c r="AQ48" s="168"/>
      <c r="AR48" s="168"/>
      <c r="AS48" s="168"/>
      <c r="AT48" s="168"/>
      <c r="AU48" s="168"/>
      <c r="AV48" s="168"/>
      <c r="AW48" s="168"/>
      <c r="AX48" s="168"/>
      <c r="AY48" s="168"/>
      <c r="AZ48" s="168"/>
      <c r="BA48" s="168"/>
      <c r="BB48" s="168"/>
      <c r="BC48" s="168"/>
      <c r="BD48" s="168"/>
      <c r="BE48" s="168"/>
      <c r="BF48" s="168"/>
      <c r="BG48" s="168"/>
      <c r="BH48" s="168"/>
      <c r="BI48" s="168"/>
      <c r="BJ48" s="168"/>
      <c r="BK48" s="168"/>
      <c r="BL48" s="168"/>
      <c r="BM48" s="168"/>
      <c r="BN48" s="168"/>
      <c r="BO48" s="168"/>
    </row>
    <row r="49" spans="1:67" s="152" customFormat="1" x14ac:dyDescent="0.35">
      <c r="A49" s="204"/>
      <c r="B49" s="179"/>
      <c r="C49" s="179"/>
      <c r="D49" s="212"/>
      <c r="E49" s="179"/>
      <c r="F49" s="179"/>
      <c r="G49" s="179"/>
      <c r="H49" s="179"/>
      <c r="I49" s="179"/>
      <c r="J49" s="179"/>
      <c r="K49" s="179"/>
      <c r="L49" s="179"/>
      <c r="M49" s="159"/>
      <c r="N49" s="168"/>
      <c r="O49" s="147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51"/>
      <c r="AB49" s="168"/>
      <c r="AC49" s="168"/>
      <c r="AD49" s="168"/>
      <c r="AE49" s="151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</row>
    <row r="50" spans="1:67" s="152" customFormat="1" x14ac:dyDescent="0.35">
      <c r="A50" s="180" t="s">
        <v>0</v>
      </c>
      <c r="B50" s="182" t="s">
        <v>10</v>
      </c>
      <c r="C50" s="182" t="s">
        <v>11</v>
      </c>
      <c r="D50" s="209" t="s">
        <v>12</v>
      </c>
      <c r="E50" s="182" t="s">
        <v>13</v>
      </c>
      <c r="F50" s="182" t="s">
        <v>14</v>
      </c>
      <c r="G50" s="182" t="s">
        <v>15</v>
      </c>
      <c r="H50" s="182" t="s">
        <v>16</v>
      </c>
      <c r="I50" s="183" t="s">
        <v>17</v>
      </c>
      <c r="J50" s="184" t="s">
        <v>23</v>
      </c>
      <c r="K50" s="184" t="s">
        <v>24</v>
      </c>
      <c r="L50" s="185" t="s">
        <v>18</v>
      </c>
      <c r="M50" s="159"/>
      <c r="N50" s="168"/>
      <c r="O50" s="147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51"/>
      <c r="AB50" s="168"/>
      <c r="AC50" s="168"/>
      <c r="AD50" s="168"/>
      <c r="AE50" s="151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68"/>
      <c r="BB50" s="168"/>
      <c r="BC50" s="168"/>
      <c r="BD50" s="168"/>
      <c r="BE50" s="168"/>
      <c r="BF50" s="168"/>
      <c r="BG50" s="168"/>
      <c r="BH50" s="168"/>
      <c r="BI50" s="168"/>
      <c r="BJ50" s="168"/>
      <c r="BK50" s="168"/>
      <c r="BL50" s="168"/>
      <c r="BM50" s="168"/>
      <c r="BN50" s="168"/>
      <c r="BO50" s="168"/>
    </row>
    <row r="51" spans="1:67" s="152" customFormat="1" x14ac:dyDescent="0.35">
      <c r="A51" s="154" t="s">
        <v>29</v>
      </c>
      <c r="B51" s="199">
        <v>752</v>
      </c>
      <c r="C51" s="199">
        <v>752</v>
      </c>
      <c r="D51" s="217">
        <v>752</v>
      </c>
      <c r="E51" s="199">
        <v>752</v>
      </c>
      <c r="F51" s="199">
        <v>752</v>
      </c>
      <c r="G51" s="199">
        <v>752</v>
      </c>
      <c r="H51" s="199">
        <v>752</v>
      </c>
      <c r="I51" s="199">
        <v>752</v>
      </c>
      <c r="J51" s="199">
        <v>752</v>
      </c>
      <c r="K51" s="199">
        <v>752</v>
      </c>
      <c r="L51" s="186">
        <f>SUM(B51:K51)</f>
        <v>7520</v>
      </c>
      <c r="M51" s="159"/>
      <c r="N51" s="168"/>
      <c r="O51" s="147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51"/>
      <c r="AB51" s="168"/>
      <c r="AC51" s="168"/>
      <c r="AD51" s="168"/>
      <c r="AE51" s="151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</row>
    <row r="52" spans="1:67" s="158" customFormat="1" x14ac:dyDescent="0.35">
      <c r="A52" s="187" t="s">
        <v>20</v>
      </c>
      <c r="B52" s="201">
        <f>'housing proportion projections'!L21</f>
        <v>138.12725942952667</v>
      </c>
      <c r="C52" s="201">
        <f>'housing proportion projections'!M21</f>
        <v>138.12725942952667</v>
      </c>
      <c r="D52" s="201">
        <f>'housing proportion projections'!N21</f>
        <v>138.12725942952667</v>
      </c>
      <c r="E52" s="201">
        <f>'housing proportion projections'!O21</f>
        <v>138.12725942952667</v>
      </c>
      <c r="F52" s="201">
        <f>'housing proportion projections'!P21</f>
        <v>138.12725942952667</v>
      </c>
      <c r="G52" s="201">
        <f>'housing proportion projections'!Q21</f>
        <v>138.12725942952667</v>
      </c>
      <c r="H52" s="201">
        <f>'housing proportion projections'!R21</f>
        <v>138.12725942952667</v>
      </c>
      <c r="I52" s="201">
        <f>'housing proportion projections'!S21</f>
        <v>138.12725942952667</v>
      </c>
      <c r="J52" s="201">
        <f>'housing proportion projections'!T21</f>
        <v>138.12725942952667</v>
      </c>
      <c r="K52" s="201">
        <f>'housing proportion projections'!U21</f>
        <v>138.12725942952667</v>
      </c>
      <c r="L52" s="186">
        <f t="shared" ref="L52:L55" si="53">SUM(B52:K52)</f>
        <v>1381.2725942952668</v>
      </c>
      <c r="M52" s="167"/>
      <c r="N52" s="168"/>
      <c r="O52" s="147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51"/>
      <c r="AB52" s="168"/>
      <c r="AC52" s="168"/>
      <c r="AD52" s="168"/>
      <c r="AE52" s="151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</row>
    <row r="53" spans="1:67" s="152" customFormat="1" ht="15.75" customHeight="1" thickBot="1" x14ac:dyDescent="0.4">
      <c r="A53" s="187" t="s">
        <v>21</v>
      </c>
      <c r="B53" s="201">
        <f>'housing proportion projections'!L22</f>
        <v>183.85539651029151</v>
      </c>
      <c r="C53" s="201">
        <f>'housing proportion projections'!M22</f>
        <v>183.85539651029151</v>
      </c>
      <c r="D53" s="201">
        <f>'housing proportion projections'!N22</f>
        <v>183.85539651029151</v>
      </c>
      <c r="E53" s="201">
        <f>'housing proportion projections'!O22</f>
        <v>183.85539651029151</v>
      </c>
      <c r="F53" s="201">
        <f>'housing proportion projections'!P22</f>
        <v>183.85539651029151</v>
      </c>
      <c r="G53" s="201">
        <f>'housing proportion projections'!Q22</f>
        <v>183.85539651029151</v>
      </c>
      <c r="H53" s="201">
        <f>'housing proportion projections'!R22</f>
        <v>183.85539651029151</v>
      </c>
      <c r="I53" s="201">
        <f>'housing proportion projections'!S22</f>
        <v>183.85539651029151</v>
      </c>
      <c r="J53" s="201">
        <f>'housing proportion projections'!T22</f>
        <v>183.85539651029151</v>
      </c>
      <c r="K53" s="201">
        <f>'housing proportion projections'!U22</f>
        <v>183.85539651029151</v>
      </c>
      <c r="L53" s="186">
        <f t="shared" si="53"/>
        <v>1838.5539651029151</v>
      </c>
      <c r="M53" s="159"/>
      <c r="N53" s="168"/>
      <c r="O53" s="147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51"/>
      <c r="AB53" s="168"/>
      <c r="AC53" s="168"/>
      <c r="AD53" s="168"/>
      <c r="AE53" s="151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</row>
    <row r="54" spans="1:67" s="156" customFormat="1" x14ac:dyDescent="0.35">
      <c r="A54" s="187" t="s">
        <v>26</v>
      </c>
      <c r="B54" s="201">
        <f>'housing proportion projections'!L23</f>
        <v>333.06112213979731</v>
      </c>
      <c r="C54" s="201">
        <f>'housing proportion projections'!M23</f>
        <v>333.06112213979731</v>
      </c>
      <c r="D54" s="201">
        <f>'housing proportion projections'!N23</f>
        <v>333.06112213979731</v>
      </c>
      <c r="E54" s="201">
        <f>'housing proportion projections'!O23</f>
        <v>333.06112213979731</v>
      </c>
      <c r="F54" s="201">
        <f>'housing proportion projections'!P23</f>
        <v>333.06112213979731</v>
      </c>
      <c r="G54" s="201">
        <f>'housing proportion projections'!Q23</f>
        <v>333.06112213979731</v>
      </c>
      <c r="H54" s="201">
        <f>'housing proportion projections'!R23</f>
        <v>333.06112213979731</v>
      </c>
      <c r="I54" s="201">
        <f>'housing proportion projections'!S23</f>
        <v>333.06112213979731</v>
      </c>
      <c r="J54" s="201">
        <f>'housing proportion projections'!T23</f>
        <v>333.06112213979731</v>
      </c>
      <c r="K54" s="201">
        <f>'housing proportion projections'!U23</f>
        <v>333.06112213979731</v>
      </c>
      <c r="L54" s="186">
        <f t="shared" si="53"/>
        <v>3330.6112213979727</v>
      </c>
      <c r="M54" s="161"/>
      <c r="N54" s="168"/>
      <c r="O54" s="147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51"/>
      <c r="AB54" s="168"/>
      <c r="AC54" s="168"/>
      <c r="AD54" s="168"/>
      <c r="AE54" s="151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168"/>
      <c r="AT54" s="168"/>
      <c r="AU54" s="168"/>
      <c r="AV54" s="168"/>
      <c r="AW54" s="168"/>
      <c r="AX54" s="168"/>
      <c r="AY54" s="168"/>
      <c r="AZ54" s="168"/>
      <c r="BA54" s="168"/>
      <c r="BB54" s="168"/>
      <c r="BC54" s="168"/>
      <c r="BD54" s="168"/>
      <c r="BE54" s="168"/>
      <c r="BF54" s="168"/>
      <c r="BG54" s="168"/>
      <c r="BH54" s="168"/>
      <c r="BI54" s="168"/>
      <c r="BJ54" s="168"/>
      <c r="BK54" s="168"/>
      <c r="BL54" s="168"/>
      <c r="BM54" s="168"/>
      <c r="BN54" s="168"/>
      <c r="BO54" s="168"/>
    </row>
    <row r="55" spans="1:67" s="155" customFormat="1" x14ac:dyDescent="0.35">
      <c r="A55" s="190" t="s">
        <v>22</v>
      </c>
      <c r="B55" s="201">
        <f>'housing proportion projections'!L24</f>
        <v>96.877651238115135</v>
      </c>
      <c r="C55" s="201">
        <f>'housing proportion projections'!M24</f>
        <v>96.877651238115135</v>
      </c>
      <c r="D55" s="201">
        <f>'housing proportion projections'!N24</f>
        <v>96.877651238115135</v>
      </c>
      <c r="E55" s="201">
        <f>'housing proportion projections'!O24</f>
        <v>96.877651238115135</v>
      </c>
      <c r="F55" s="201">
        <f>'housing proportion projections'!P24</f>
        <v>96.877651238115135</v>
      </c>
      <c r="G55" s="201">
        <f>'housing proportion projections'!Q24</f>
        <v>96.877651238115135</v>
      </c>
      <c r="H55" s="201">
        <f>'housing proportion projections'!R24</f>
        <v>96.877651238115135</v>
      </c>
      <c r="I55" s="201">
        <f>'housing proportion projections'!S24</f>
        <v>96.877651238115135</v>
      </c>
      <c r="J55" s="201">
        <f>'housing proportion projections'!T24</f>
        <v>96.877651238115135</v>
      </c>
      <c r="K55" s="201">
        <f>'housing proportion projections'!U24</f>
        <v>96.877651238115135</v>
      </c>
      <c r="L55" s="186">
        <f t="shared" si="53"/>
        <v>968.77651238115152</v>
      </c>
      <c r="M55" s="162"/>
      <c r="N55" s="168"/>
      <c r="O55" s="147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51"/>
      <c r="AB55" s="168"/>
      <c r="AC55" s="168"/>
      <c r="AD55" s="168"/>
      <c r="AE55" s="151"/>
      <c r="AF55" s="168"/>
      <c r="AG55" s="168"/>
      <c r="AH55" s="168"/>
      <c r="AI55" s="168"/>
      <c r="AJ55" s="168"/>
      <c r="AK55" s="168"/>
      <c r="AL55" s="168"/>
      <c r="AM55" s="168"/>
      <c r="AN55" s="168"/>
      <c r="AO55" s="168"/>
      <c r="AP55" s="168"/>
      <c r="AQ55" s="168"/>
      <c r="AR55" s="168"/>
      <c r="AS55" s="168"/>
      <c r="AT55" s="168"/>
      <c r="AU55" s="168"/>
      <c r="AV55" s="168"/>
      <c r="AW55" s="168"/>
      <c r="AX55" s="168"/>
      <c r="AY55" s="168"/>
      <c r="AZ55" s="168"/>
      <c r="BA55" s="168"/>
      <c r="BB55" s="168"/>
      <c r="BC55" s="168"/>
      <c r="BD55" s="168"/>
      <c r="BE55" s="168"/>
      <c r="BF55" s="168"/>
      <c r="BG55" s="168"/>
      <c r="BH55" s="168"/>
      <c r="BI55" s="168"/>
      <c r="BJ55" s="168"/>
      <c r="BK55" s="168"/>
      <c r="BL55" s="168"/>
      <c r="BM55" s="168"/>
      <c r="BN55" s="168"/>
      <c r="BO55" s="168"/>
    </row>
    <row r="56" spans="1:67" s="155" customFormat="1" ht="15" thickBot="1" x14ac:dyDescent="0.4">
      <c r="A56" s="179"/>
      <c r="B56" s="199"/>
      <c r="C56" s="199"/>
      <c r="D56" s="217"/>
      <c r="E56" s="199"/>
      <c r="F56" s="199"/>
      <c r="G56" s="199"/>
      <c r="H56" s="199"/>
      <c r="I56" s="199"/>
      <c r="J56" s="199"/>
      <c r="K56" s="199"/>
      <c r="L56" s="200"/>
      <c r="M56" s="163"/>
      <c r="N56" s="168"/>
      <c r="O56" s="147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51"/>
      <c r="AB56" s="168"/>
      <c r="AC56" s="168"/>
      <c r="AD56" s="168"/>
      <c r="AE56" s="151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168"/>
      <c r="AT56" s="168"/>
      <c r="AU56" s="168"/>
      <c r="AV56" s="168"/>
      <c r="AW56" s="168"/>
      <c r="AX56" s="168"/>
      <c r="AY56" s="168"/>
      <c r="AZ56" s="168"/>
      <c r="BA56" s="168"/>
      <c r="BB56" s="168"/>
      <c r="BC56" s="168"/>
      <c r="BD56" s="168"/>
      <c r="BE56" s="168"/>
      <c r="BF56" s="168"/>
      <c r="BG56" s="168"/>
      <c r="BH56" s="168"/>
      <c r="BI56" s="168"/>
      <c r="BJ56" s="168"/>
      <c r="BK56" s="168"/>
      <c r="BL56" s="168"/>
      <c r="BM56" s="168"/>
      <c r="BN56" s="168"/>
      <c r="BO56" s="168"/>
    </row>
    <row r="57" spans="1:67" s="155" customFormat="1" x14ac:dyDescent="0.35">
      <c r="A57" s="191" t="s">
        <v>134</v>
      </c>
      <c r="B57" s="192"/>
      <c r="C57" s="192"/>
      <c r="D57" s="213"/>
      <c r="E57" s="192"/>
      <c r="F57" s="192"/>
      <c r="G57" s="192"/>
      <c r="H57" s="192"/>
      <c r="I57" s="192"/>
      <c r="J57" s="192"/>
      <c r="K57" s="192"/>
      <c r="L57" s="192"/>
      <c r="M57" s="162"/>
      <c r="N57" s="168"/>
      <c r="O57" s="147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51"/>
      <c r="AB57" s="168"/>
      <c r="AC57" s="168"/>
      <c r="AD57" s="168"/>
      <c r="AE57" s="151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168"/>
      <c r="AT57" s="168"/>
      <c r="AU57" s="168"/>
      <c r="AV57" s="168"/>
      <c r="AW57" s="168"/>
      <c r="AX57" s="168"/>
      <c r="AY57" s="168"/>
      <c r="AZ57" s="168"/>
      <c r="BA57" s="168"/>
      <c r="BB57" s="168"/>
      <c r="BC57" s="168"/>
      <c r="BD57" s="168"/>
      <c r="BE57" s="168"/>
      <c r="BF57" s="168"/>
      <c r="BG57" s="168"/>
      <c r="BH57" s="168"/>
      <c r="BI57" s="168"/>
      <c r="BJ57" s="168"/>
      <c r="BK57" s="168"/>
      <c r="BL57" s="168"/>
      <c r="BM57" s="168"/>
      <c r="BN57" s="168"/>
      <c r="BO57" s="168"/>
    </row>
    <row r="58" spans="1:67" s="157" customFormat="1" ht="15" thickBot="1" x14ac:dyDescent="0.4">
      <c r="A58" s="193" t="s">
        <v>112</v>
      </c>
      <c r="B58" s="214">
        <f>((B52*$AB$27)+(B53*$AB$28)+(B54*$AB$29)+(B55*$AB$30))*30</f>
        <v>6097940.4609029889</v>
      </c>
      <c r="C58" s="214">
        <f>((C52*$AB$27)+(C53*$AB$28)+(C54*$AB$29)+(C55*$AB$30))*30</f>
        <v>6097940.4609029889</v>
      </c>
      <c r="D58" s="214">
        <f>((D52*$AF$27)+(D53*$AF$28)+(D54*$AF$29)+(D55*$AF$30))*30</f>
        <v>6026389.2371942243</v>
      </c>
      <c r="E58" s="214">
        <f t="shared" ref="E58:K58" si="54">((E52*$AF$27)+(E53*$AF$28)+(E54*$AF$29)+(E55*$AF$30))*30</f>
        <v>6026389.2371942243</v>
      </c>
      <c r="F58" s="214">
        <f t="shared" si="54"/>
        <v>6026389.2371942243</v>
      </c>
      <c r="G58" s="214">
        <f t="shared" si="54"/>
        <v>6026389.2371942243</v>
      </c>
      <c r="H58" s="214">
        <f t="shared" si="54"/>
        <v>6026389.2371942243</v>
      </c>
      <c r="I58" s="214">
        <f t="shared" si="54"/>
        <v>6026389.2371942243</v>
      </c>
      <c r="J58" s="214">
        <f t="shared" si="54"/>
        <v>6026389.2371942243</v>
      </c>
      <c r="K58" s="214">
        <f t="shared" si="54"/>
        <v>6026389.2371942243</v>
      </c>
      <c r="L58" s="214">
        <f>SUM(B58:K58)</f>
        <v>60406994.819359779</v>
      </c>
      <c r="M58" s="164"/>
      <c r="N58" s="168"/>
      <c r="O58" s="147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51"/>
      <c r="AB58" s="168"/>
      <c r="AC58" s="168"/>
      <c r="AD58" s="168"/>
      <c r="AE58" s="151"/>
      <c r="AF58" s="168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168"/>
      <c r="BI58" s="168"/>
      <c r="BJ58" s="168"/>
      <c r="BK58" s="168"/>
      <c r="BL58" s="168"/>
      <c r="BM58" s="168"/>
      <c r="BN58" s="168"/>
      <c r="BO58" s="168"/>
    </row>
    <row r="59" spans="1:67" s="157" customFormat="1" ht="15" thickBot="1" x14ac:dyDescent="0.4">
      <c r="A59" s="193" t="s">
        <v>113</v>
      </c>
      <c r="B59" s="214">
        <f t="shared" ref="B59" si="55">B58/1000</f>
        <v>6097.9404609029889</v>
      </c>
      <c r="C59" s="214">
        <f t="shared" ref="C59" si="56">C58/1000</f>
        <v>6097.9404609029889</v>
      </c>
      <c r="D59" s="214">
        <f t="shared" ref="D59" si="57">D58/1000</f>
        <v>6026.3892371942238</v>
      </c>
      <c r="E59" s="214">
        <f t="shared" ref="E59" si="58">E58/1000</f>
        <v>6026.3892371942238</v>
      </c>
      <c r="F59" s="214">
        <f t="shared" ref="F59" si="59">F58/1000</f>
        <v>6026.3892371942238</v>
      </c>
      <c r="G59" s="214">
        <f t="shared" ref="G59" si="60">G58/1000</f>
        <v>6026.3892371942238</v>
      </c>
      <c r="H59" s="214">
        <f t="shared" ref="H59" si="61">H58/1000</f>
        <v>6026.3892371942238</v>
      </c>
      <c r="I59" s="214">
        <f t="shared" ref="I59" si="62">I58/1000</f>
        <v>6026.3892371942238</v>
      </c>
      <c r="J59" s="214">
        <f t="shared" ref="J59" si="63">J58/1000</f>
        <v>6026.3892371942238</v>
      </c>
      <c r="K59" s="214">
        <f t="shared" ref="K59" si="64">K58/1000</f>
        <v>6026.3892371942238</v>
      </c>
      <c r="L59" s="214">
        <f t="shared" ref="L59" si="65">L58/1000</f>
        <v>60406.994819359781</v>
      </c>
      <c r="M59" s="164"/>
      <c r="N59" s="168"/>
      <c r="O59" s="147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51"/>
      <c r="AB59" s="168"/>
      <c r="AC59" s="168"/>
      <c r="AD59" s="168"/>
      <c r="AE59" s="151"/>
      <c r="AF59" s="168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68"/>
      <c r="AT59" s="168"/>
      <c r="AU59" s="168"/>
      <c r="AV59" s="168"/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168"/>
      <c r="BI59" s="168"/>
      <c r="BJ59" s="168"/>
      <c r="BK59" s="168"/>
      <c r="BL59" s="168"/>
      <c r="BM59" s="168"/>
      <c r="BN59" s="168"/>
      <c r="BO59" s="168"/>
    </row>
    <row r="60" spans="1:67" s="152" customFormat="1" x14ac:dyDescent="0.35">
      <c r="A60" s="193" t="s">
        <v>64</v>
      </c>
      <c r="B60" s="215">
        <f t="shared" ref="B60" si="66">B59*$X$3</f>
        <v>1426918.0678512994</v>
      </c>
      <c r="C60" s="215">
        <f t="shared" ref="C60" si="67">C59*$X$3</f>
        <v>1426918.0678512994</v>
      </c>
      <c r="D60" s="215">
        <f t="shared" ref="D60" si="68">D59*$X$3</f>
        <v>1410175.0815034483</v>
      </c>
      <c r="E60" s="215">
        <f t="shared" ref="E60" si="69">E59*$X$3</f>
        <v>1410175.0815034483</v>
      </c>
      <c r="F60" s="215">
        <f t="shared" ref="F60" si="70">F59*$X$3</f>
        <v>1410175.0815034483</v>
      </c>
      <c r="G60" s="215">
        <f t="shared" ref="G60" si="71">G59*$X$3</f>
        <v>1410175.0815034483</v>
      </c>
      <c r="H60" s="215">
        <f t="shared" ref="H60" si="72">H59*$X$3</f>
        <v>1410175.0815034483</v>
      </c>
      <c r="I60" s="215">
        <f t="shared" ref="I60" si="73">I59*$X$3</f>
        <v>1410175.0815034483</v>
      </c>
      <c r="J60" s="215">
        <f t="shared" ref="J60" si="74">J59*$X$3</f>
        <v>1410175.0815034483</v>
      </c>
      <c r="K60" s="215">
        <f t="shared" ref="K60" si="75">K59*$X$3</f>
        <v>1410175.0815034483</v>
      </c>
      <c r="L60" s="215">
        <f t="shared" ref="L60" si="76">L59*$X$3</f>
        <v>14135236.787730189</v>
      </c>
      <c r="M60" s="159"/>
      <c r="N60" s="168"/>
      <c r="O60" s="147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51"/>
      <c r="AB60" s="168"/>
      <c r="AC60" s="168"/>
      <c r="AD60" s="168"/>
      <c r="AE60" s="151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8"/>
      <c r="AZ60" s="168"/>
      <c r="BA60" s="168"/>
      <c r="BB60" s="168"/>
      <c r="BC60" s="168"/>
      <c r="BD60" s="168"/>
      <c r="BE60" s="168"/>
      <c r="BF60" s="168"/>
      <c r="BG60" s="168"/>
      <c r="BH60" s="168"/>
      <c r="BI60" s="168"/>
      <c r="BJ60" s="168"/>
      <c r="BK60" s="168"/>
      <c r="BL60" s="168"/>
      <c r="BM60" s="168"/>
      <c r="BN60" s="168"/>
      <c r="BO60" s="168"/>
    </row>
    <row r="61" spans="1:67" s="152" customFormat="1" x14ac:dyDescent="0.35">
      <c r="A61" s="193"/>
      <c r="B61" s="194"/>
      <c r="C61" s="194"/>
      <c r="D61" s="214"/>
      <c r="E61" s="194"/>
      <c r="F61" s="194"/>
      <c r="G61" s="194"/>
      <c r="H61" s="194"/>
      <c r="I61" s="194"/>
      <c r="J61" s="194"/>
      <c r="K61" s="194"/>
      <c r="L61" s="194"/>
      <c r="M61" s="159"/>
      <c r="N61" s="168"/>
      <c r="O61" s="147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51"/>
      <c r="AB61" s="168"/>
      <c r="AC61" s="168"/>
      <c r="AD61" s="168"/>
      <c r="AE61" s="151"/>
      <c r="AF61" s="168"/>
      <c r="AG61" s="168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168"/>
      <c r="AT61" s="168"/>
      <c r="AU61" s="168"/>
      <c r="AV61" s="168"/>
      <c r="AW61" s="168"/>
      <c r="AX61" s="168"/>
      <c r="AY61" s="168"/>
      <c r="AZ61" s="168"/>
      <c r="BA61" s="168"/>
      <c r="BB61" s="168"/>
      <c r="BC61" s="168"/>
      <c r="BD61" s="168"/>
      <c r="BE61" s="168"/>
      <c r="BF61" s="168"/>
      <c r="BG61" s="168"/>
      <c r="BH61" s="168"/>
      <c r="BI61" s="168"/>
      <c r="BJ61" s="168"/>
      <c r="BK61" s="168"/>
      <c r="BL61" s="168"/>
      <c r="BM61" s="168"/>
      <c r="BN61" s="168"/>
      <c r="BO61" s="168"/>
    </row>
    <row r="62" spans="1:67" s="152" customFormat="1" ht="15" thickBot="1" x14ac:dyDescent="0.4">
      <c r="A62" s="197"/>
      <c r="B62" s="198"/>
      <c r="C62" s="198"/>
      <c r="D62" s="216"/>
      <c r="E62" s="198"/>
      <c r="F62" s="198"/>
      <c r="G62" s="198"/>
      <c r="H62" s="198"/>
      <c r="I62" s="198"/>
      <c r="J62" s="198"/>
      <c r="K62" s="198"/>
      <c r="L62" s="198"/>
      <c r="M62" s="159"/>
      <c r="N62" s="168"/>
      <c r="O62" s="147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51"/>
      <c r="AB62" s="168"/>
      <c r="AC62" s="168"/>
      <c r="AD62" s="168"/>
      <c r="AE62" s="151"/>
      <c r="AF62" s="168"/>
      <c r="AG62" s="168"/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168"/>
      <c r="AT62" s="168"/>
      <c r="AU62" s="168"/>
      <c r="AV62" s="168"/>
      <c r="AW62" s="168"/>
      <c r="AX62" s="168"/>
      <c r="AY62" s="168"/>
      <c r="AZ62" s="168"/>
      <c r="BA62" s="168"/>
      <c r="BB62" s="168"/>
      <c r="BC62" s="168"/>
      <c r="BD62" s="168"/>
      <c r="BE62" s="168"/>
      <c r="BF62" s="168"/>
      <c r="BG62" s="168"/>
      <c r="BH62" s="168"/>
      <c r="BI62" s="168"/>
      <c r="BJ62" s="168"/>
      <c r="BK62" s="168"/>
      <c r="BL62" s="168"/>
      <c r="BM62" s="168"/>
      <c r="BN62" s="168"/>
      <c r="BO62" s="168"/>
    </row>
    <row r="63" spans="1:67" s="152" customFormat="1" x14ac:dyDescent="0.35">
      <c r="A63" s="187"/>
      <c r="B63" s="179"/>
      <c r="C63" s="179"/>
      <c r="D63" s="212"/>
      <c r="E63" s="179"/>
      <c r="F63" s="179"/>
      <c r="G63" s="179"/>
      <c r="H63" s="179"/>
      <c r="I63" s="179"/>
      <c r="J63" s="179"/>
      <c r="K63" s="179"/>
      <c r="L63" s="179"/>
      <c r="M63" s="160"/>
      <c r="N63" s="168"/>
      <c r="O63" s="147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51"/>
      <c r="AB63" s="168"/>
      <c r="AC63" s="168"/>
      <c r="AD63" s="168"/>
      <c r="AE63" s="151"/>
      <c r="AF63" s="168"/>
      <c r="AG63" s="168"/>
      <c r="AH63" s="168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168"/>
      <c r="AT63" s="168"/>
      <c r="AU63" s="168"/>
      <c r="AV63" s="168"/>
      <c r="AW63" s="168"/>
      <c r="AX63" s="168"/>
      <c r="AY63" s="168"/>
      <c r="AZ63" s="168"/>
      <c r="BA63" s="168"/>
      <c r="BB63" s="168"/>
      <c r="BC63" s="168"/>
      <c r="BD63" s="168"/>
      <c r="BE63" s="168"/>
      <c r="BF63" s="168"/>
      <c r="BG63" s="168"/>
      <c r="BH63" s="168"/>
      <c r="BI63" s="168"/>
      <c r="BJ63" s="168"/>
      <c r="BK63" s="168"/>
      <c r="BL63" s="168"/>
      <c r="BM63" s="168"/>
      <c r="BN63" s="168"/>
      <c r="BO63" s="168"/>
    </row>
    <row r="64" spans="1:67" s="152" customFormat="1" x14ac:dyDescent="0.35">
      <c r="A64" s="154"/>
      <c r="B64" s="179"/>
      <c r="C64" s="179"/>
      <c r="D64" s="212"/>
      <c r="E64" s="179"/>
      <c r="F64" s="179"/>
      <c r="G64" s="179"/>
      <c r="H64" s="179"/>
      <c r="I64" s="179"/>
      <c r="J64" s="179"/>
      <c r="K64" s="179"/>
      <c r="L64" s="179"/>
      <c r="M64" s="159"/>
      <c r="N64" s="168"/>
      <c r="O64" s="147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51"/>
      <c r="AB64" s="168"/>
      <c r="AC64" s="168"/>
      <c r="AD64" s="168"/>
      <c r="AE64" s="151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68"/>
      <c r="AT64" s="168"/>
      <c r="AU64" s="168"/>
      <c r="AV64" s="168"/>
      <c r="AW64" s="168"/>
      <c r="AX64" s="168"/>
      <c r="AY64" s="168"/>
      <c r="AZ64" s="168"/>
      <c r="BA64" s="168"/>
      <c r="BB64" s="168"/>
      <c r="BC64" s="168"/>
      <c r="BD64" s="168"/>
      <c r="BE64" s="168"/>
      <c r="BF64" s="168"/>
      <c r="BG64" s="168"/>
      <c r="BH64" s="168"/>
      <c r="BI64" s="168"/>
      <c r="BJ64" s="168"/>
      <c r="BK64" s="168"/>
      <c r="BL64" s="168"/>
      <c r="BM64" s="168"/>
      <c r="BN64" s="168"/>
      <c r="BO64" s="168"/>
    </row>
    <row r="65" spans="1:67" s="152" customFormat="1" x14ac:dyDescent="0.35">
      <c r="A65" s="180" t="s">
        <v>0</v>
      </c>
      <c r="B65" s="182" t="s">
        <v>10</v>
      </c>
      <c r="C65" s="182" t="s">
        <v>11</v>
      </c>
      <c r="D65" s="209" t="s">
        <v>12</v>
      </c>
      <c r="E65" s="182" t="s">
        <v>13</v>
      </c>
      <c r="F65" s="182" t="s">
        <v>14</v>
      </c>
      <c r="G65" s="182" t="s">
        <v>15</v>
      </c>
      <c r="H65" s="182" t="s">
        <v>16</v>
      </c>
      <c r="I65" s="183" t="s">
        <v>17</v>
      </c>
      <c r="J65" s="184" t="s">
        <v>23</v>
      </c>
      <c r="K65" s="184" t="s">
        <v>24</v>
      </c>
      <c r="L65" s="185" t="s">
        <v>18</v>
      </c>
      <c r="M65" s="159"/>
      <c r="N65" s="168"/>
      <c r="O65" s="147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51"/>
      <c r="AB65" s="168"/>
      <c r="AC65" s="168"/>
      <c r="AD65" s="168"/>
      <c r="AE65" s="151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168"/>
      <c r="AT65" s="168"/>
      <c r="AU65" s="168"/>
      <c r="AV65" s="168"/>
      <c r="AW65" s="168"/>
      <c r="AX65" s="168"/>
      <c r="AY65" s="168"/>
      <c r="AZ65" s="168"/>
      <c r="BA65" s="168"/>
      <c r="BB65" s="168"/>
      <c r="BC65" s="168"/>
      <c r="BD65" s="168"/>
      <c r="BE65" s="168"/>
      <c r="BF65" s="168"/>
      <c r="BG65" s="168"/>
      <c r="BH65" s="168"/>
      <c r="BI65" s="168"/>
      <c r="BJ65" s="168"/>
      <c r="BK65" s="168"/>
      <c r="BL65" s="168"/>
      <c r="BM65" s="168"/>
      <c r="BN65" s="168"/>
      <c r="BO65" s="168"/>
    </row>
    <row r="66" spans="1:67" s="152" customFormat="1" x14ac:dyDescent="0.35">
      <c r="A66" s="154" t="s">
        <v>30</v>
      </c>
      <c r="B66" s="199">
        <v>640</v>
      </c>
      <c r="C66" s="199">
        <v>640</v>
      </c>
      <c r="D66" s="217">
        <v>640</v>
      </c>
      <c r="E66" s="199">
        <v>640</v>
      </c>
      <c r="F66" s="199">
        <v>640</v>
      </c>
      <c r="G66" s="199">
        <v>640</v>
      </c>
      <c r="H66" s="199">
        <v>640</v>
      </c>
      <c r="I66" s="199">
        <v>640</v>
      </c>
      <c r="J66" s="199">
        <v>640</v>
      </c>
      <c r="K66" s="199">
        <v>640</v>
      </c>
      <c r="L66" s="186">
        <f>SUM(B66:K66)</f>
        <v>6400</v>
      </c>
      <c r="M66" s="159"/>
      <c r="N66" s="168"/>
      <c r="O66" s="147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51"/>
      <c r="AB66" s="168"/>
      <c r="AC66" s="168"/>
      <c r="AD66" s="168"/>
      <c r="AE66" s="151"/>
      <c r="AF66" s="168"/>
      <c r="AG66" s="168"/>
      <c r="AH66" s="168"/>
      <c r="AI66" s="168"/>
      <c r="AJ66" s="168"/>
      <c r="AK66" s="168"/>
      <c r="AL66" s="168"/>
      <c r="AM66" s="168"/>
      <c r="AN66" s="168"/>
      <c r="AO66" s="168"/>
      <c r="AP66" s="168"/>
      <c r="AQ66" s="168"/>
      <c r="AR66" s="168"/>
      <c r="AS66" s="168"/>
      <c r="AT66" s="168"/>
      <c r="AU66" s="168"/>
      <c r="AV66" s="168"/>
      <c r="AW66" s="168"/>
      <c r="AX66" s="168"/>
      <c r="AY66" s="168"/>
      <c r="AZ66" s="168"/>
      <c r="BA66" s="168"/>
      <c r="BB66" s="168"/>
      <c r="BC66" s="168"/>
      <c r="BD66" s="168"/>
      <c r="BE66" s="168"/>
      <c r="BF66" s="168"/>
      <c r="BG66" s="168"/>
      <c r="BH66" s="168"/>
      <c r="BI66" s="168"/>
      <c r="BJ66" s="168"/>
      <c r="BK66" s="168"/>
      <c r="BL66" s="168"/>
      <c r="BM66" s="168"/>
      <c r="BN66" s="168"/>
      <c r="BO66" s="168"/>
    </row>
    <row r="67" spans="1:67" s="158" customFormat="1" x14ac:dyDescent="0.35">
      <c r="A67" s="187" t="s">
        <v>20</v>
      </c>
      <c r="B67" s="201">
        <f>'housing proportion projections'!L26</f>
        <v>123.40225964613089</v>
      </c>
      <c r="C67" s="201">
        <f>'housing proportion projections'!M26</f>
        <v>123.40225964613089</v>
      </c>
      <c r="D67" s="201">
        <f>'housing proportion projections'!N26</f>
        <v>123.40225964613089</v>
      </c>
      <c r="E67" s="201">
        <f>'housing proportion projections'!O26</f>
        <v>123.40225964613089</v>
      </c>
      <c r="F67" s="201">
        <f>'housing proportion projections'!P26</f>
        <v>123.40225964613089</v>
      </c>
      <c r="G67" s="201">
        <f>'housing proportion projections'!Q26</f>
        <v>123.40225964613089</v>
      </c>
      <c r="H67" s="201">
        <f>'housing proportion projections'!R26</f>
        <v>123.40225964613089</v>
      </c>
      <c r="I67" s="201">
        <f>'housing proportion projections'!S26</f>
        <v>123.40225964613089</v>
      </c>
      <c r="J67" s="201">
        <f>'housing proportion projections'!T26</f>
        <v>123.40225964613089</v>
      </c>
      <c r="K67" s="201">
        <f>'housing proportion projections'!U26</f>
        <v>123.40225964613089</v>
      </c>
      <c r="L67" s="186">
        <f t="shared" ref="L67:L70" si="77">SUM(B67:K67)</f>
        <v>1234.0225964613089</v>
      </c>
      <c r="M67" s="167"/>
      <c r="N67" s="168"/>
      <c r="O67" s="147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51"/>
      <c r="AB67" s="168"/>
      <c r="AC67" s="168"/>
      <c r="AD67" s="168"/>
      <c r="AE67" s="151"/>
      <c r="AF67" s="168"/>
      <c r="AG67" s="168"/>
      <c r="AH67" s="168"/>
      <c r="AI67" s="168"/>
      <c r="AJ67" s="168"/>
      <c r="AK67" s="168"/>
      <c r="AL67" s="168"/>
      <c r="AM67" s="168"/>
      <c r="AN67" s="168"/>
      <c r="AO67" s="168"/>
      <c r="AP67" s="168"/>
      <c r="AQ67" s="168"/>
      <c r="AR67" s="168"/>
      <c r="AS67" s="168"/>
      <c r="AT67" s="168"/>
      <c r="AU67" s="168"/>
      <c r="AV67" s="168"/>
      <c r="AW67" s="168"/>
      <c r="AX67" s="168"/>
      <c r="AY67" s="168"/>
      <c r="AZ67" s="168"/>
      <c r="BA67" s="168"/>
      <c r="BB67" s="168"/>
      <c r="BC67" s="168"/>
      <c r="BD67" s="168"/>
      <c r="BE67" s="168"/>
      <c r="BF67" s="168"/>
      <c r="BG67" s="168"/>
      <c r="BH67" s="168"/>
      <c r="BI67" s="168"/>
      <c r="BJ67" s="168"/>
      <c r="BK67" s="168"/>
      <c r="BL67" s="168"/>
      <c r="BM67" s="168"/>
      <c r="BN67" s="168"/>
      <c r="BO67" s="168"/>
    </row>
    <row r="68" spans="1:67" s="152" customFormat="1" ht="15" thickBot="1" x14ac:dyDescent="0.4">
      <c r="A68" s="187" t="s">
        <v>21</v>
      </c>
      <c r="B68" s="201">
        <f>'housing proportion projections'!L27</f>
        <v>174.29119590705608</v>
      </c>
      <c r="C68" s="201">
        <f>'housing proportion projections'!M27</f>
        <v>174.29119590705608</v>
      </c>
      <c r="D68" s="201">
        <f>'housing proportion projections'!N27</f>
        <v>174.29119590705608</v>
      </c>
      <c r="E68" s="201">
        <f>'housing proportion projections'!O27</f>
        <v>174.29119590705608</v>
      </c>
      <c r="F68" s="201">
        <f>'housing proportion projections'!P27</f>
        <v>174.29119590705608</v>
      </c>
      <c r="G68" s="201">
        <f>'housing proportion projections'!Q27</f>
        <v>174.29119590705608</v>
      </c>
      <c r="H68" s="201">
        <f>'housing proportion projections'!R27</f>
        <v>174.29119590705608</v>
      </c>
      <c r="I68" s="201">
        <f>'housing proportion projections'!S27</f>
        <v>174.29119590705608</v>
      </c>
      <c r="J68" s="201">
        <f>'housing proportion projections'!T27</f>
        <v>174.29119590705608</v>
      </c>
      <c r="K68" s="201">
        <f>'housing proportion projections'!U27</f>
        <v>174.29119590705608</v>
      </c>
      <c r="L68" s="186">
        <f t="shared" si="77"/>
        <v>1742.9119590705611</v>
      </c>
      <c r="M68" s="159"/>
      <c r="N68" s="168"/>
      <c r="O68" s="147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51"/>
      <c r="AB68" s="168"/>
      <c r="AC68" s="168"/>
      <c r="AD68" s="168"/>
      <c r="AE68" s="151"/>
      <c r="AF68" s="168"/>
      <c r="AG68" s="168"/>
      <c r="AH68" s="168"/>
      <c r="AI68" s="168"/>
      <c r="AJ68" s="168"/>
      <c r="AK68" s="168"/>
      <c r="AL68" s="168"/>
      <c r="AM68" s="168"/>
      <c r="AN68" s="168"/>
      <c r="AO68" s="168"/>
      <c r="AP68" s="168"/>
      <c r="AQ68" s="168"/>
      <c r="AR68" s="168"/>
      <c r="AS68" s="168"/>
      <c r="AT68" s="168"/>
      <c r="AU68" s="168"/>
      <c r="AV68" s="168"/>
      <c r="AW68" s="168"/>
      <c r="AX68" s="168"/>
      <c r="AY68" s="168"/>
      <c r="AZ68" s="168"/>
      <c r="BA68" s="168"/>
      <c r="BB68" s="168"/>
      <c r="BC68" s="168"/>
      <c r="BD68" s="168"/>
      <c r="BE68" s="168"/>
      <c r="BF68" s="168"/>
      <c r="BG68" s="168"/>
      <c r="BH68" s="168"/>
      <c r="BI68" s="168"/>
      <c r="BJ68" s="168"/>
      <c r="BK68" s="168"/>
      <c r="BL68" s="168"/>
      <c r="BM68" s="168"/>
      <c r="BN68" s="168"/>
      <c r="BO68" s="168"/>
    </row>
    <row r="69" spans="1:67" s="156" customFormat="1" x14ac:dyDescent="0.35">
      <c r="A69" s="187" t="s">
        <v>26</v>
      </c>
      <c r="B69" s="201">
        <f>'housing proportion projections'!L28</f>
        <v>251.44318908548286</v>
      </c>
      <c r="C69" s="201">
        <f>'housing proportion projections'!M28</f>
        <v>251.44318908548286</v>
      </c>
      <c r="D69" s="201">
        <f>'housing proportion projections'!N28</f>
        <v>251.44318908548286</v>
      </c>
      <c r="E69" s="201">
        <f>'housing proportion projections'!O28</f>
        <v>251.44318908548286</v>
      </c>
      <c r="F69" s="201">
        <f>'housing proportion projections'!P28</f>
        <v>251.44318908548286</v>
      </c>
      <c r="G69" s="201">
        <f>'housing proportion projections'!Q28</f>
        <v>251.44318908548286</v>
      </c>
      <c r="H69" s="201">
        <f>'housing proportion projections'!R28</f>
        <v>251.44318908548286</v>
      </c>
      <c r="I69" s="201">
        <f>'housing proportion projections'!S28</f>
        <v>251.44318908548286</v>
      </c>
      <c r="J69" s="201">
        <f>'housing proportion projections'!T28</f>
        <v>251.44318908548286</v>
      </c>
      <c r="K69" s="201">
        <f>'housing proportion projections'!U28</f>
        <v>251.44318908548286</v>
      </c>
      <c r="L69" s="186">
        <f t="shared" si="77"/>
        <v>2514.4318908548285</v>
      </c>
      <c r="M69" s="161"/>
      <c r="N69" s="168"/>
      <c r="O69" s="147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51"/>
      <c r="AB69" s="168"/>
      <c r="AC69" s="168"/>
      <c r="AD69" s="168"/>
      <c r="AE69" s="151"/>
      <c r="AF69" s="168"/>
      <c r="AG69" s="168"/>
      <c r="AH69" s="168"/>
      <c r="AI69" s="168"/>
      <c r="AJ69" s="168"/>
      <c r="AK69" s="168"/>
      <c r="AL69" s="168"/>
      <c r="AM69" s="168"/>
      <c r="AN69" s="168"/>
      <c r="AO69" s="168"/>
      <c r="AP69" s="168"/>
      <c r="AQ69" s="168"/>
      <c r="AR69" s="168"/>
      <c r="AS69" s="168"/>
      <c r="AT69" s="168"/>
      <c r="AU69" s="168"/>
      <c r="AV69" s="168"/>
      <c r="AW69" s="168"/>
      <c r="AX69" s="168"/>
      <c r="AY69" s="168"/>
      <c r="AZ69" s="168"/>
      <c r="BA69" s="168"/>
      <c r="BB69" s="168"/>
      <c r="BC69" s="168"/>
      <c r="BD69" s="168"/>
      <c r="BE69" s="168"/>
      <c r="BF69" s="168"/>
      <c r="BG69" s="168"/>
      <c r="BH69" s="168"/>
      <c r="BI69" s="168"/>
      <c r="BJ69" s="168"/>
      <c r="BK69" s="168"/>
      <c r="BL69" s="168"/>
      <c r="BM69" s="168"/>
      <c r="BN69" s="168"/>
      <c r="BO69" s="168"/>
    </row>
    <row r="70" spans="1:67" s="155" customFormat="1" x14ac:dyDescent="0.35">
      <c r="A70" s="190" t="s">
        <v>22</v>
      </c>
      <c r="B70" s="201">
        <f>'housing proportion projections'!L29</f>
        <v>90.931571093583457</v>
      </c>
      <c r="C70" s="201">
        <f>'housing proportion projections'!M29</f>
        <v>90.931571093583457</v>
      </c>
      <c r="D70" s="201">
        <f>'housing proportion projections'!N29</f>
        <v>90.931571093583457</v>
      </c>
      <c r="E70" s="201">
        <f>'housing proportion projections'!O29</f>
        <v>90.931571093583457</v>
      </c>
      <c r="F70" s="201">
        <f>'housing proportion projections'!P29</f>
        <v>90.931571093583457</v>
      </c>
      <c r="G70" s="201">
        <f>'housing proportion projections'!Q29</f>
        <v>90.931571093583457</v>
      </c>
      <c r="H70" s="201">
        <f>'housing proportion projections'!R29</f>
        <v>90.931571093583457</v>
      </c>
      <c r="I70" s="201">
        <f>'housing proportion projections'!S29</f>
        <v>90.931571093583457</v>
      </c>
      <c r="J70" s="201">
        <f>'housing proportion projections'!T29</f>
        <v>90.931571093583457</v>
      </c>
      <c r="K70" s="201">
        <f>'housing proportion projections'!U29</f>
        <v>90.931571093583457</v>
      </c>
      <c r="L70" s="186">
        <f t="shared" si="77"/>
        <v>909.31571093583455</v>
      </c>
      <c r="M70" s="162"/>
      <c r="N70" s="168"/>
      <c r="O70" s="147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51"/>
      <c r="AB70" s="168"/>
      <c r="AC70" s="168"/>
      <c r="AD70" s="168"/>
      <c r="AE70" s="151"/>
      <c r="AF70" s="168"/>
      <c r="AG70" s="168"/>
      <c r="AH70" s="168"/>
      <c r="AI70" s="168"/>
      <c r="AJ70" s="168"/>
      <c r="AK70" s="168"/>
      <c r="AL70" s="168"/>
      <c r="AM70" s="168"/>
      <c r="AN70" s="168"/>
      <c r="AO70" s="168"/>
      <c r="AP70" s="168"/>
      <c r="AQ70" s="168"/>
      <c r="AR70" s="168"/>
      <c r="AS70" s="168"/>
      <c r="AT70" s="168"/>
      <c r="AU70" s="168"/>
      <c r="AV70" s="168"/>
      <c r="AW70" s="168"/>
      <c r="AX70" s="168"/>
      <c r="AY70" s="168"/>
      <c r="AZ70" s="168"/>
      <c r="BA70" s="168"/>
      <c r="BB70" s="168"/>
      <c r="BC70" s="168"/>
      <c r="BD70" s="168"/>
      <c r="BE70" s="168"/>
      <c r="BF70" s="168"/>
      <c r="BG70" s="168"/>
      <c r="BH70" s="168"/>
      <c r="BI70" s="168"/>
      <c r="BJ70" s="168"/>
      <c r="BK70" s="168"/>
      <c r="BL70" s="168"/>
      <c r="BM70" s="168"/>
      <c r="BN70" s="168"/>
      <c r="BO70" s="168"/>
    </row>
    <row r="71" spans="1:67" s="155" customFormat="1" ht="15" thickBot="1" x14ac:dyDescent="0.4">
      <c r="A71" s="179"/>
      <c r="B71" s="179"/>
      <c r="C71" s="179"/>
      <c r="D71" s="212"/>
      <c r="E71" s="179"/>
      <c r="F71" s="179"/>
      <c r="G71" s="179"/>
      <c r="H71" s="179"/>
      <c r="I71" s="179"/>
      <c r="J71" s="179"/>
      <c r="K71" s="179"/>
      <c r="L71" s="179"/>
      <c r="M71" s="163"/>
      <c r="N71" s="168"/>
      <c r="O71" s="147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51"/>
      <c r="AB71" s="168"/>
      <c r="AC71" s="168"/>
      <c r="AD71" s="168"/>
      <c r="AE71" s="151"/>
      <c r="AF71" s="168"/>
      <c r="AG71" s="168"/>
      <c r="AH71" s="168"/>
      <c r="AI71" s="168"/>
      <c r="AJ71" s="168"/>
      <c r="AK71" s="168"/>
      <c r="AL71" s="168"/>
      <c r="AM71" s="168"/>
      <c r="AN71" s="168"/>
      <c r="AO71" s="168"/>
      <c r="AP71" s="168"/>
      <c r="AQ71" s="168"/>
      <c r="AR71" s="168"/>
      <c r="AS71" s="168"/>
      <c r="AT71" s="168"/>
      <c r="AU71" s="168"/>
      <c r="AV71" s="168"/>
      <c r="AW71" s="168"/>
      <c r="AX71" s="168"/>
      <c r="AY71" s="168"/>
      <c r="AZ71" s="168"/>
      <c r="BA71" s="168"/>
      <c r="BB71" s="168"/>
      <c r="BC71" s="168"/>
      <c r="BD71" s="168"/>
      <c r="BE71" s="168"/>
      <c r="BF71" s="168"/>
      <c r="BG71" s="168"/>
      <c r="BH71" s="168"/>
      <c r="BI71" s="168"/>
      <c r="BJ71" s="168"/>
      <c r="BK71" s="168"/>
      <c r="BL71" s="168"/>
      <c r="BM71" s="168"/>
      <c r="BN71" s="168"/>
      <c r="BO71" s="168"/>
    </row>
    <row r="72" spans="1:67" s="155" customFormat="1" x14ac:dyDescent="0.35">
      <c r="A72" s="191" t="s">
        <v>134</v>
      </c>
      <c r="B72" s="192"/>
      <c r="C72" s="192"/>
      <c r="D72" s="213"/>
      <c r="E72" s="192"/>
      <c r="F72" s="192"/>
      <c r="G72" s="192"/>
      <c r="H72" s="192"/>
      <c r="I72" s="192"/>
      <c r="J72" s="192"/>
      <c r="K72" s="192"/>
      <c r="L72" s="192"/>
      <c r="M72" s="162"/>
      <c r="N72" s="168"/>
      <c r="O72" s="147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51"/>
      <c r="AB72" s="168"/>
      <c r="AC72" s="168"/>
      <c r="AD72" s="168"/>
      <c r="AE72" s="151"/>
      <c r="AF72" s="168"/>
      <c r="AG72" s="168"/>
      <c r="AH72" s="168"/>
      <c r="AI72" s="168"/>
      <c r="AJ72" s="168"/>
      <c r="AK72" s="168"/>
      <c r="AL72" s="168"/>
      <c r="AM72" s="168"/>
      <c r="AN72" s="168"/>
      <c r="AO72" s="168"/>
      <c r="AP72" s="168"/>
      <c r="AQ72" s="168"/>
      <c r="AR72" s="168"/>
      <c r="AS72" s="168"/>
      <c r="AT72" s="168"/>
      <c r="AU72" s="168"/>
      <c r="AV72" s="168"/>
      <c r="AW72" s="168"/>
      <c r="AX72" s="168"/>
      <c r="AY72" s="168"/>
      <c r="AZ72" s="168"/>
      <c r="BA72" s="168"/>
      <c r="BB72" s="168"/>
      <c r="BC72" s="168"/>
      <c r="BD72" s="168"/>
      <c r="BE72" s="168"/>
      <c r="BF72" s="168"/>
      <c r="BG72" s="168"/>
      <c r="BH72" s="168"/>
      <c r="BI72" s="168"/>
      <c r="BJ72" s="168"/>
      <c r="BK72" s="168"/>
      <c r="BL72" s="168"/>
      <c r="BM72" s="168"/>
      <c r="BN72" s="168"/>
      <c r="BO72" s="168"/>
    </row>
    <row r="73" spans="1:67" s="157" customFormat="1" ht="15" thickBot="1" x14ac:dyDescent="0.4">
      <c r="A73" s="193" t="s">
        <v>112</v>
      </c>
      <c r="B73" s="214">
        <f>((B67*$AB$27)+(B68*$AB$28)+(B69*$AB$29)+(B70*$AB$30))*30</f>
        <v>5158381.5644634562</v>
      </c>
      <c r="C73" s="214">
        <f>((C67*$AB$27)+(C68*$AB$28)+(C69*$AB$29)+(C70*$AB$30))*30</f>
        <v>5158381.5644634562</v>
      </c>
      <c r="D73" s="214">
        <f>((D67*$AF$27)+(D68*$AF$28)+(D69*$AF$29)+(D70*$AF$30))*30</f>
        <v>5097734.4101706585</v>
      </c>
      <c r="E73" s="214">
        <f t="shared" ref="E73:K73" si="78">((E67*$AF$27)+(E68*$AF$28)+(E69*$AF$29)+(E70*$AF$30))*30</f>
        <v>5097734.4101706585</v>
      </c>
      <c r="F73" s="214">
        <f t="shared" si="78"/>
        <v>5097734.4101706585</v>
      </c>
      <c r="G73" s="214">
        <f t="shared" si="78"/>
        <v>5097734.4101706585</v>
      </c>
      <c r="H73" s="214">
        <f t="shared" si="78"/>
        <v>5097734.4101706585</v>
      </c>
      <c r="I73" s="214">
        <f t="shared" si="78"/>
        <v>5097734.4101706585</v>
      </c>
      <c r="J73" s="214">
        <f t="shared" si="78"/>
        <v>5097734.4101706585</v>
      </c>
      <c r="K73" s="214">
        <f t="shared" si="78"/>
        <v>5097734.4101706585</v>
      </c>
      <c r="L73" s="214">
        <f>SUM(B73:K73)</f>
        <v>51098638.410292186</v>
      </c>
      <c r="M73" s="164"/>
      <c r="N73" s="168"/>
      <c r="O73" s="147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  <c r="AA73" s="151"/>
      <c r="AB73" s="168"/>
      <c r="AC73" s="168"/>
      <c r="AD73" s="168"/>
      <c r="AE73" s="151"/>
      <c r="AF73" s="168"/>
      <c r="AG73" s="168"/>
      <c r="AH73" s="168"/>
      <c r="AI73" s="168"/>
      <c r="AJ73" s="168"/>
      <c r="AK73" s="168"/>
      <c r="AL73" s="168"/>
      <c r="AM73" s="168"/>
      <c r="AN73" s="168"/>
      <c r="AO73" s="168"/>
      <c r="AP73" s="168"/>
      <c r="AQ73" s="168"/>
      <c r="AR73" s="168"/>
      <c r="AS73" s="168"/>
      <c r="AT73" s="168"/>
      <c r="AU73" s="168"/>
      <c r="AV73" s="168"/>
      <c r="AW73" s="168"/>
      <c r="AX73" s="168"/>
      <c r="AY73" s="168"/>
      <c r="AZ73" s="168"/>
      <c r="BA73" s="168"/>
      <c r="BB73" s="168"/>
      <c r="BC73" s="168"/>
      <c r="BD73" s="168"/>
      <c r="BE73" s="168"/>
      <c r="BF73" s="168"/>
      <c r="BG73" s="168"/>
      <c r="BH73" s="168"/>
      <c r="BI73" s="168"/>
      <c r="BJ73" s="168"/>
      <c r="BK73" s="168"/>
      <c r="BL73" s="168"/>
      <c r="BM73" s="168"/>
      <c r="BN73" s="168"/>
      <c r="BO73" s="168"/>
    </row>
    <row r="74" spans="1:67" s="157" customFormat="1" ht="15" thickBot="1" x14ac:dyDescent="0.4">
      <c r="A74" s="193" t="s">
        <v>113</v>
      </c>
      <c r="B74" s="214">
        <f t="shared" ref="B74" si="79">B73/1000</f>
        <v>5158.381564463456</v>
      </c>
      <c r="C74" s="214">
        <f t="shared" ref="C74" si="80">C73/1000</f>
        <v>5158.381564463456</v>
      </c>
      <c r="D74" s="214">
        <f t="shared" ref="D74" si="81">D73/1000</f>
        <v>5097.7344101706585</v>
      </c>
      <c r="E74" s="214">
        <f t="shared" ref="E74" si="82">E73/1000</f>
        <v>5097.7344101706585</v>
      </c>
      <c r="F74" s="214">
        <f t="shared" ref="F74" si="83">F73/1000</f>
        <v>5097.7344101706585</v>
      </c>
      <c r="G74" s="214">
        <f t="shared" ref="G74" si="84">G73/1000</f>
        <v>5097.7344101706585</v>
      </c>
      <c r="H74" s="214">
        <f t="shared" ref="H74" si="85">H73/1000</f>
        <v>5097.7344101706585</v>
      </c>
      <c r="I74" s="214">
        <f t="shared" ref="I74" si="86">I73/1000</f>
        <v>5097.7344101706585</v>
      </c>
      <c r="J74" s="214">
        <f t="shared" ref="J74" si="87">J73/1000</f>
        <v>5097.7344101706585</v>
      </c>
      <c r="K74" s="214">
        <f t="shared" ref="K74" si="88">K73/1000</f>
        <v>5097.7344101706585</v>
      </c>
      <c r="L74" s="214">
        <f t="shared" ref="L74" si="89">L73/1000</f>
        <v>51098.638410292187</v>
      </c>
      <c r="M74" s="164"/>
      <c r="N74" s="168"/>
      <c r="O74" s="147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51"/>
      <c r="AB74" s="168"/>
      <c r="AC74" s="168"/>
      <c r="AD74" s="168"/>
      <c r="AE74" s="151"/>
      <c r="AF74" s="168"/>
      <c r="AG74" s="168"/>
      <c r="AH74" s="168"/>
      <c r="AI74" s="168"/>
      <c r="AJ74" s="168"/>
      <c r="AK74" s="168"/>
      <c r="AL74" s="168"/>
      <c r="AM74" s="168"/>
      <c r="AN74" s="168"/>
      <c r="AO74" s="168"/>
      <c r="AP74" s="168"/>
      <c r="AQ74" s="168"/>
      <c r="AR74" s="168"/>
      <c r="AS74" s="168"/>
      <c r="AT74" s="168"/>
      <c r="AU74" s="168"/>
      <c r="AV74" s="168"/>
      <c r="AW74" s="168"/>
      <c r="AX74" s="168"/>
      <c r="AY74" s="168"/>
      <c r="AZ74" s="168"/>
      <c r="BA74" s="168"/>
      <c r="BB74" s="168"/>
      <c r="BC74" s="168"/>
      <c r="BD74" s="168"/>
      <c r="BE74" s="168"/>
      <c r="BF74" s="168"/>
      <c r="BG74" s="168"/>
      <c r="BH74" s="168"/>
      <c r="BI74" s="168"/>
      <c r="BJ74" s="168"/>
      <c r="BK74" s="168"/>
      <c r="BL74" s="168"/>
      <c r="BM74" s="168"/>
      <c r="BN74" s="168"/>
      <c r="BO74" s="168"/>
    </row>
    <row r="75" spans="1:67" s="152" customFormat="1" x14ac:dyDescent="0.35">
      <c r="A75" s="193" t="s">
        <v>64</v>
      </c>
      <c r="B75" s="215">
        <f t="shared" ref="B75" si="90">B74*$X$3</f>
        <v>1207061.2860844487</v>
      </c>
      <c r="C75" s="215">
        <f t="shared" ref="C75" si="91">C74*$X$3</f>
        <v>1207061.2860844487</v>
      </c>
      <c r="D75" s="215">
        <f t="shared" ref="D75" si="92">D74*$X$3</f>
        <v>1192869.8519799341</v>
      </c>
      <c r="E75" s="215">
        <f t="shared" ref="E75" si="93">E74*$X$3</f>
        <v>1192869.8519799341</v>
      </c>
      <c r="F75" s="215">
        <f t="shared" ref="F75" si="94">F74*$X$3</f>
        <v>1192869.8519799341</v>
      </c>
      <c r="G75" s="215">
        <f t="shared" ref="G75" si="95">G74*$X$3</f>
        <v>1192869.8519799341</v>
      </c>
      <c r="H75" s="215">
        <f t="shared" ref="H75" si="96">H74*$X$3</f>
        <v>1192869.8519799341</v>
      </c>
      <c r="I75" s="215">
        <f t="shared" ref="I75" si="97">I74*$X$3</f>
        <v>1192869.8519799341</v>
      </c>
      <c r="J75" s="215">
        <f t="shared" ref="J75" si="98">J74*$X$3</f>
        <v>1192869.8519799341</v>
      </c>
      <c r="K75" s="215">
        <f t="shared" ref="K75" si="99">K74*$X$3</f>
        <v>1192869.8519799341</v>
      </c>
      <c r="L75" s="215">
        <f t="shared" ref="L75" si="100">L74*$X$3</f>
        <v>11957081.388008371</v>
      </c>
      <c r="M75" s="159"/>
      <c r="N75" s="168"/>
      <c r="O75" s="147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51"/>
      <c r="AB75" s="168"/>
      <c r="AC75" s="168"/>
      <c r="AD75" s="168"/>
      <c r="AE75" s="151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</row>
    <row r="76" spans="1:67" s="152" customFormat="1" x14ac:dyDescent="0.35">
      <c r="A76" s="193"/>
      <c r="B76" s="194"/>
      <c r="C76" s="194"/>
      <c r="D76" s="214"/>
      <c r="E76" s="194"/>
      <c r="F76" s="194"/>
      <c r="G76" s="194"/>
      <c r="H76" s="194"/>
      <c r="I76" s="194"/>
      <c r="J76" s="194"/>
      <c r="K76" s="194"/>
      <c r="L76" s="194"/>
      <c r="M76" s="159"/>
      <c r="N76" s="168"/>
      <c r="O76" s="147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51"/>
      <c r="AB76" s="168"/>
      <c r="AC76" s="168"/>
      <c r="AD76" s="168"/>
      <c r="AE76" s="151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</row>
    <row r="77" spans="1:67" s="152" customFormat="1" ht="15" thickBot="1" x14ac:dyDescent="0.4">
      <c r="A77" s="197"/>
      <c r="B77" s="198"/>
      <c r="C77" s="198"/>
      <c r="D77" s="216"/>
      <c r="E77" s="198"/>
      <c r="F77" s="198"/>
      <c r="G77" s="198"/>
      <c r="H77" s="198"/>
      <c r="I77" s="198"/>
      <c r="J77" s="198"/>
      <c r="K77" s="198"/>
      <c r="L77" s="198"/>
      <c r="M77" s="159"/>
      <c r="N77" s="168"/>
      <c r="O77" s="147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51"/>
      <c r="AB77" s="168"/>
      <c r="AC77" s="168"/>
      <c r="AD77" s="168"/>
      <c r="AE77" s="151"/>
      <c r="AF77" s="168"/>
      <c r="AG77" s="168"/>
      <c r="AH77" s="168"/>
      <c r="AI77" s="168"/>
      <c r="AJ77" s="168"/>
      <c r="AK77" s="168"/>
      <c r="AL77" s="168"/>
      <c r="AM77" s="168"/>
      <c r="AN77" s="168"/>
      <c r="AO77" s="168"/>
      <c r="AP77" s="168"/>
      <c r="AQ77" s="168"/>
      <c r="AR77" s="168"/>
      <c r="AS77" s="168"/>
      <c r="AT77" s="168"/>
      <c r="AU77" s="168"/>
      <c r="AV77" s="168"/>
      <c r="AW77" s="168"/>
      <c r="AX77" s="168"/>
      <c r="AY77" s="168"/>
      <c r="AZ77" s="168"/>
      <c r="BA77" s="168"/>
      <c r="BB77" s="168"/>
      <c r="BC77" s="168"/>
      <c r="BD77" s="168"/>
      <c r="BE77" s="168"/>
      <c r="BF77" s="168"/>
      <c r="BG77" s="168"/>
      <c r="BH77" s="168"/>
      <c r="BI77" s="168"/>
      <c r="BJ77" s="168"/>
      <c r="BK77" s="168"/>
      <c r="BL77" s="168"/>
      <c r="BM77" s="168"/>
      <c r="BN77" s="168"/>
      <c r="BO77" s="168"/>
    </row>
    <row r="78" spans="1:67" s="152" customFormat="1" x14ac:dyDescent="0.35">
      <c r="A78" s="187"/>
      <c r="B78" s="179"/>
      <c r="C78" s="179"/>
      <c r="D78" s="212"/>
      <c r="E78" s="179"/>
      <c r="F78" s="179"/>
      <c r="G78" s="179"/>
      <c r="H78" s="179"/>
      <c r="I78" s="179"/>
      <c r="J78" s="179"/>
      <c r="K78" s="179"/>
      <c r="L78" s="179"/>
      <c r="M78" s="160"/>
      <c r="N78" s="168"/>
      <c r="O78" s="147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51"/>
      <c r="AB78" s="168"/>
      <c r="AC78" s="168"/>
      <c r="AD78" s="168"/>
      <c r="AE78" s="151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P78" s="168"/>
      <c r="AQ78" s="168"/>
      <c r="AR78" s="168"/>
      <c r="AS78" s="168"/>
      <c r="AT78" s="168"/>
      <c r="AU78" s="168"/>
      <c r="AV78" s="168"/>
      <c r="AW78" s="168"/>
      <c r="AX78" s="168"/>
      <c r="AY78" s="168"/>
      <c r="AZ78" s="168"/>
      <c r="BA78" s="168"/>
      <c r="BB78" s="168"/>
      <c r="BC78" s="168"/>
      <c r="BD78" s="168"/>
      <c r="BE78" s="168"/>
      <c r="BF78" s="168"/>
      <c r="BG78" s="168"/>
      <c r="BH78" s="168"/>
      <c r="BI78" s="168"/>
      <c r="BJ78" s="168"/>
      <c r="BK78" s="168"/>
      <c r="BL78" s="168"/>
      <c r="BM78" s="168"/>
      <c r="BN78" s="168"/>
      <c r="BO78" s="168"/>
    </row>
    <row r="79" spans="1:67" s="152" customFormat="1" x14ac:dyDescent="0.35">
      <c r="A79" s="187"/>
      <c r="B79" s="179"/>
      <c r="C79" s="179"/>
      <c r="D79" s="212"/>
      <c r="E79" s="179"/>
      <c r="F79" s="179"/>
      <c r="G79" s="179"/>
      <c r="H79" s="179"/>
      <c r="I79" s="179"/>
      <c r="J79" s="179"/>
      <c r="K79" s="179"/>
      <c r="L79" s="179"/>
      <c r="M79" s="159"/>
      <c r="N79" s="168"/>
      <c r="O79" s="147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51"/>
      <c r="AB79" s="168"/>
      <c r="AC79" s="168"/>
      <c r="AD79" s="168"/>
      <c r="AE79" s="151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68"/>
      <c r="AT79" s="168"/>
      <c r="AU79" s="168"/>
      <c r="AV79" s="168"/>
      <c r="AW79" s="168"/>
      <c r="AX79" s="168"/>
      <c r="AY79" s="168"/>
      <c r="AZ79" s="168"/>
      <c r="BA79" s="168"/>
      <c r="BB79" s="168"/>
      <c r="BC79" s="168"/>
      <c r="BD79" s="168"/>
      <c r="BE79" s="168"/>
      <c r="BF79" s="168"/>
      <c r="BG79" s="168"/>
      <c r="BH79" s="168"/>
      <c r="BI79" s="168"/>
      <c r="BJ79" s="168"/>
      <c r="BK79" s="168"/>
      <c r="BL79" s="168"/>
      <c r="BM79" s="168"/>
      <c r="BN79" s="168"/>
      <c r="BO79" s="168"/>
    </row>
    <row r="80" spans="1:67" s="152" customFormat="1" x14ac:dyDescent="0.35">
      <c r="A80" s="180" t="s">
        <v>0</v>
      </c>
      <c r="B80" s="182" t="s">
        <v>10</v>
      </c>
      <c r="C80" s="182" t="s">
        <v>11</v>
      </c>
      <c r="D80" s="209" t="s">
        <v>12</v>
      </c>
      <c r="E80" s="182" t="s">
        <v>13</v>
      </c>
      <c r="F80" s="182" t="s">
        <v>14</v>
      </c>
      <c r="G80" s="182" t="s">
        <v>15</v>
      </c>
      <c r="H80" s="182" t="s">
        <v>16</v>
      </c>
      <c r="I80" s="183" t="s">
        <v>17</v>
      </c>
      <c r="J80" s="184" t="s">
        <v>23</v>
      </c>
      <c r="K80" s="184" t="s">
        <v>24</v>
      </c>
      <c r="L80" s="185" t="s">
        <v>18</v>
      </c>
      <c r="M80" s="159"/>
      <c r="N80" s="168"/>
      <c r="O80" s="147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51"/>
      <c r="AB80" s="168"/>
      <c r="AC80" s="168"/>
      <c r="AD80" s="168"/>
      <c r="AE80" s="151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68"/>
      <c r="AT80" s="168"/>
      <c r="AU80" s="168"/>
      <c r="AV80" s="168"/>
      <c r="AW80" s="168"/>
      <c r="AX80" s="168"/>
      <c r="AY80" s="168"/>
      <c r="AZ80" s="168"/>
      <c r="BA80" s="168"/>
      <c r="BB80" s="168"/>
      <c r="BC80" s="168"/>
      <c r="BD80" s="168"/>
      <c r="BE80" s="168"/>
      <c r="BF80" s="168"/>
      <c r="BG80" s="168"/>
      <c r="BH80" s="168"/>
      <c r="BI80" s="168"/>
      <c r="BJ80" s="168"/>
      <c r="BK80" s="168"/>
      <c r="BL80" s="168"/>
      <c r="BM80" s="168"/>
      <c r="BN80" s="168"/>
      <c r="BO80" s="168"/>
    </row>
    <row r="81" spans="1:67" s="152" customFormat="1" x14ac:dyDescent="0.35">
      <c r="A81" s="154" t="s">
        <v>31</v>
      </c>
      <c r="B81" s="199">
        <v>1720</v>
      </c>
      <c r="C81" s="199">
        <v>1720</v>
      </c>
      <c r="D81" s="217">
        <v>1720</v>
      </c>
      <c r="E81" s="199">
        <v>1720</v>
      </c>
      <c r="F81" s="199">
        <v>1720</v>
      </c>
      <c r="G81" s="199">
        <v>1720</v>
      </c>
      <c r="H81" s="199">
        <v>1720</v>
      </c>
      <c r="I81" s="199">
        <v>1720</v>
      </c>
      <c r="J81" s="199">
        <v>1720</v>
      </c>
      <c r="K81" s="199">
        <v>1720</v>
      </c>
      <c r="L81" s="186">
        <f>SUM(B81:K81)</f>
        <v>17200</v>
      </c>
      <c r="M81" s="159"/>
      <c r="N81" s="168"/>
      <c r="O81" s="147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51"/>
      <c r="AB81" s="168"/>
      <c r="AC81" s="168"/>
      <c r="AD81" s="168"/>
      <c r="AE81" s="151"/>
      <c r="AF81" s="168"/>
      <c r="AG81" s="168"/>
      <c r="AH81" s="168"/>
      <c r="AI81" s="168"/>
      <c r="AJ81" s="168"/>
      <c r="AK81" s="168"/>
      <c r="AL81" s="168"/>
      <c r="AM81" s="168"/>
      <c r="AN81" s="168"/>
      <c r="AO81" s="168"/>
      <c r="AP81" s="168"/>
      <c r="AQ81" s="168"/>
      <c r="AR81" s="168"/>
      <c r="AS81" s="168"/>
      <c r="AT81" s="168"/>
      <c r="AU81" s="168"/>
      <c r="AV81" s="168"/>
      <c r="AW81" s="168"/>
      <c r="AX81" s="168"/>
      <c r="AY81" s="168"/>
      <c r="AZ81" s="168"/>
      <c r="BA81" s="168"/>
      <c r="BB81" s="168"/>
      <c r="BC81" s="168"/>
      <c r="BD81" s="168"/>
      <c r="BE81" s="168"/>
      <c r="BF81" s="168"/>
      <c r="BG81" s="168"/>
      <c r="BH81" s="168"/>
      <c r="BI81" s="168"/>
      <c r="BJ81" s="168"/>
      <c r="BK81" s="168"/>
      <c r="BL81" s="168"/>
      <c r="BM81" s="168"/>
      <c r="BN81" s="168"/>
      <c r="BO81" s="168"/>
    </row>
    <row r="82" spans="1:67" s="158" customFormat="1" x14ac:dyDescent="0.35">
      <c r="A82" s="187" t="s">
        <v>20</v>
      </c>
      <c r="B82" s="201">
        <f>'housing proportion projections'!L31</f>
        <v>184.64770689213427</v>
      </c>
      <c r="C82" s="201">
        <f>'housing proportion projections'!M31</f>
        <v>184.64770689213427</v>
      </c>
      <c r="D82" s="201">
        <f>'housing proportion projections'!N31</f>
        <v>184.64770689213427</v>
      </c>
      <c r="E82" s="201">
        <f>'housing proportion projections'!O31</f>
        <v>184.64770689213427</v>
      </c>
      <c r="F82" s="201">
        <f>'housing proportion projections'!P31</f>
        <v>184.64770689213427</v>
      </c>
      <c r="G82" s="201">
        <f>'housing proportion projections'!Q31</f>
        <v>184.64770689213427</v>
      </c>
      <c r="H82" s="201">
        <f>'housing proportion projections'!R31</f>
        <v>184.64770689213427</v>
      </c>
      <c r="I82" s="201">
        <f>'housing proportion projections'!S31</f>
        <v>184.64770689213427</v>
      </c>
      <c r="J82" s="201">
        <f>'housing proportion projections'!T31</f>
        <v>184.64770689213427</v>
      </c>
      <c r="K82" s="201">
        <f>'housing proportion projections'!U31</f>
        <v>184.64770689213427</v>
      </c>
      <c r="L82" s="186">
        <f t="shared" ref="L82:L85" si="101">SUM(B82:K82)</f>
        <v>1846.4770689213426</v>
      </c>
      <c r="M82" s="167"/>
      <c r="N82" s="168"/>
      <c r="O82" s="147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51"/>
      <c r="AB82" s="168"/>
      <c r="AC82" s="168"/>
      <c r="AD82" s="168"/>
      <c r="AE82" s="151"/>
      <c r="AF82" s="168"/>
      <c r="AG82" s="168"/>
      <c r="AH82" s="168"/>
      <c r="AI82" s="168"/>
      <c r="AJ82" s="168"/>
      <c r="AK82" s="168"/>
      <c r="AL82" s="168"/>
      <c r="AM82" s="168"/>
      <c r="AN82" s="168"/>
      <c r="AO82" s="168"/>
      <c r="AP82" s="168"/>
      <c r="AQ82" s="168"/>
      <c r="AR82" s="168"/>
      <c r="AS82" s="168"/>
      <c r="AT82" s="168"/>
      <c r="AU82" s="168"/>
      <c r="AV82" s="168"/>
      <c r="AW82" s="168"/>
      <c r="AX82" s="168"/>
      <c r="AY82" s="168"/>
      <c r="AZ82" s="168"/>
      <c r="BA82" s="168"/>
      <c r="BB82" s="168"/>
      <c r="BC82" s="168"/>
      <c r="BD82" s="168"/>
      <c r="BE82" s="168"/>
      <c r="BF82" s="168"/>
      <c r="BG82" s="168"/>
      <c r="BH82" s="168"/>
      <c r="BI82" s="168"/>
      <c r="BJ82" s="168"/>
      <c r="BK82" s="168"/>
      <c r="BL82" s="168"/>
      <c r="BM82" s="168"/>
      <c r="BN82" s="168"/>
      <c r="BO82" s="168"/>
    </row>
    <row r="83" spans="1:67" s="152" customFormat="1" ht="15" thickBot="1" x14ac:dyDescent="0.4">
      <c r="A83" s="187" t="s">
        <v>21</v>
      </c>
      <c r="B83" s="201">
        <f>'housing proportion projections'!L32</f>
        <v>477.70433000256213</v>
      </c>
      <c r="C83" s="201">
        <f>'housing proportion projections'!M32</f>
        <v>477.70433000256213</v>
      </c>
      <c r="D83" s="201">
        <f>'housing proportion projections'!N32</f>
        <v>477.70433000256213</v>
      </c>
      <c r="E83" s="201">
        <f>'housing proportion projections'!O32</f>
        <v>477.70433000256213</v>
      </c>
      <c r="F83" s="201">
        <f>'housing proportion projections'!P32</f>
        <v>477.70433000256213</v>
      </c>
      <c r="G83" s="201">
        <f>'housing proportion projections'!Q32</f>
        <v>477.70433000256213</v>
      </c>
      <c r="H83" s="201">
        <f>'housing proportion projections'!R32</f>
        <v>477.70433000256213</v>
      </c>
      <c r="I83" s="201">
        <f>'housing proportion projections'!S32</f>
        <v>477.70433000256213</v>
      </c>
      <c r="J83" s="201">
        <f>'housing proportion projections'!T32</f>
        <v>477.70433000256213</v>
      </c>
      <c r="K83" s="201">
        <f>'housing proportion projections'!U32</f>
        <v>477.70433000256213</v>
      </c>
      <c r="L83" s="186">
        <f t="shared" si="101"/>
        <v>4777.0433000256216</v>
      </c>
      <c r="M83" s="159"/>
      <c r="N83" s="168"/>
      <c r="O83" s="147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51"/>
      <c r="AB83" s="168"/>
      <c r="AC83" s="168"/>
      <c r="AD83" s="168"/>
      <c r="AE83" s="151"/>
      <c r="AF83" s="168"/>
      <c r="AG83" s="168"/>
      <c r="AH83" s="168"/>
      <c r="AI83" s="168"/>
      <c r="AJ83" s="168"/>
      <c r="AK83" s="168"/>
      <c r="AL83" s="168"/>
      <c r="AM83" s="168"/>
      <c r="AN83" s="168"/>
      <c r="AO83" s="168"/>
      <c r="AP83" s="168"/>
      <c r="AQ83" s="168"/>
      <c r="AR83" s="168"/>
      <c r="AS83" s="168"/>
      <c r="AT83" s="168"/>
      <c r="AU83" s="168"/>
      <c r="AV83" s="168"/>
      <c r="AW83" s="168"/>
      <c r="AX83" s="168"/>
      <c r="AY83" s="168"/>
      <c r="AZ83" s="168"/>
      <c r="BA83" s="168"/>
      <c r="BB83" s="168"/>
      <c r="BC83" s="168"/>
      <c r="BD83" s="168"/>
      <c r="BE83" s="168"/>
      <c r="BF83" s="168"/>
      <c r="BG83" s="168"/>
      <c r="BH83" s="168"/>
      <c r="BI83" s="168"/>
      <c r="BJ83" s="168"/>
      <c r="BK83" s="168"/>
      <c r="BL83" s="168"/>
      <c r="BM83" s="168"/>
      <c r="BN83" s="168"/>
      <c r="BO83" s="168"/>
    </row>
    <row r="84" spans="1:67" s="156" customFormat="1" x14ac:dyDescent="0.35">
      <c r="A84" s="187" t="s">
        <v>26</v>
      </c>
      <c r="B84" s="201">
        <f>'housing proportion projections'!L33</f>
        <v>529.99914595610221</v>
      </c>
      <c r="C84" s="201">
        <f>'housing proportion projections'!M33</f>
        <v>529.99914595610221</v>
      </c>
      <c r="D84" s="201">
        <f>'housing proportion projections'!N33</f>
        <v>529.99914595610221</v>
      </c>
      <c r="E84" s="201">
        <f>'housing proportion projections'!O33</f>
        <v>529.99914595610221</v>
      </c>
      <c r="F84" s="201">
        <f>'housing proportion projections'!P33</f>
        <v>529.99914595610221</v>
      </c>
      <c r="G84" s="201">
        <f>'housing proportion projections'!Q33</f>
        <v>529.99914595610221</v>
      </c>
      <c r="H84" s="201">
        <f>'housing proportion projections'!R33</f>
        <v>529.99914595610221</v>
      </c>
      <c r="I84" s="201">
        <f>'housing proportion projections'!S33</f>
        <v>529.99914595610221</v>
      </c>
      <c r="J84" s="201">
        <f>'housing proportion projections'!T33</f>
        <v>529.99914595610221</v>
      </c>
      <c r="K84" s="201">
        <f>'housing proportion projections'!U33</f>
        <v>529.99914595610221</v>
      </c>
      <c r="L84" s="186">
        <f t="shared" si="101"/>
        <v>5299.9914595610235</v>
      </c>
      <c r="M84" s="161"/>
      <c r="N84" s="168"/>
      <c r="O84" s="147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51"/>
      <c r="AB84" s="168"/>
      <c r="AC84" s="168"/>
      <c r="AD84" s="168"/>
      <c r="AE84" s="151"/>
      <c r="AF84" s="168"/>
      <c r="AG84" s="168"/>
      <c r="AH84" s="168"/>
      <c r="AI84" s="168"/>
      <c r="AJ84" s="168"/>
      <c r="AK84" s="168"/>
      <c r="AL84" s="168"/>
      <c r="AM84" s="168"/>
      <c r="AN84" s="168"/>
      <c r="AO84" s="168"/>
      <c r="AP84" s="168"/>
      <c r="AQ84" s="168"/>
      <c r="AR84" s="168"/>
      <c r="AS84" s="168"/>
      <c r="AT84" s="168"/>
      <c r="AU84" s="168"/>
      <c r="AV84" s="168"/>
      <c r="AW84" s="168"/>
      <c r="AX84" s="168"/>
      <c r="AY84" s="168"/>
      <c r="AZ84" s="168"/>
      <c r="BA84" s="168"/>
      <c r="BB84" s="168"/>
      <c r="BC84" s="168"/>
      <c r="BD84" s="168"/>
      <c r="BE84" s="168"/>
      <c r="BF84" s="168"/>
      <c r="BG84" s="168"/>
      <c r="BH84" s="168"/>
      <c r="BI84" s="168"/>
      <c r="BJ84" s="168"/>
      <c r="BK84" s="168"/>
      <c r="BL84" s="168"/>
      <c r="BM84" s="168"/>
      <c r="BN84" s="168"/>
      <c r="BO84" s="168"/>
    </row>
    <row r="85" spans="1:67" s="155" customFormat="1" x14ac:dyDescent="0.35">
      <c r="A85" s="190" t="s">
        <v>22</v>
      </c>
      <c r="B85" s="201">
        <f>'housing proportion projections'!L34</f>
        <v>527.79571269963276</v>
      </c>
      <c r="C85" s="201">
        <f>'housing proportion projections'!M34</f>
        <v>527.79571269963276</v>
      </c>
      <c r="D85" s="201">
        <f>'housing proportion projections'!N34</f>
        <v>527.79571269963276</v>
      </c>
      <c r="E85" s="201">
        <f>'housing proportion projections'!O34</f>
        <v>527.79571269963276</v>
      </c>
      <c r="F85" s="201">
        <f>'housing proportion projections'!P34</f>
        <v>527.79571269963276</v>
      </c>
      <c r="G85" s="201">
        <f>'housing proportion projections'!Q34</f>
        <v>527.79571269963276</v>
      </c>
      <c r="H85" s="201">
        <f>'housing proportion projections'!R34</f>
        <v>527.79571269963276</v>
      </c>
      <c r="I85" s="201">
        <f>'housing proportion projections'!S34</f>
        <v>527.79571269963276</v>
      </c>
      <c r="J85" s="201">
        <f>'housing proportion projections'!T34</f>
        <v>527.79571269963276</v>
      </c>
      <c r="K85" s="201">
        <f>'housing proportion projections'!U34</f>
        <v>527.79571269963276</v>
      </c>
      <c r="L85" s="186">
        <f t="shared" si="101"/>
        <v>5277.9571269963262</v>
      </c>
      <c r="M85" s="162"/>
      <c r="N85" s="168"/>
      <c r="O85" s="147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51"/>
      <c r="AB85" s="168"/>
      <c r="AC85" s="168"/>
      <c r="AD85" s="168"/>
      <c r="AE85" s="151"/>
      <c r="AF85" s="168"/>
      <c r="AG85" s="168"/>
      <c r="AH85" s="168"/>
      <c r="AI85" s="168"/>
      <c r="AJ85" s="168"/>
      <c r="AK85" s="168"/>
      <c r="AL85" s="168"/>
      <c r="AM85" s="168"/>
      <c r="AN85" s="168"/>
      <c r="AO85" s="168"/>
      <c r="AP85" s="168"/>
      <c r="AQ85" s="168"/>
      <c r="AR85" s="168"/>
      <c r="AS85" s="168"/>
      <c r="AT85" s="168"/>
      <c r="AU85" s="168"/>
      <c r="AV85" s="168"/>
      <c r="AW85" s="168"/>
      <c r="AX85" s="168"/>
      <c r="AY85" s="168"/>
      <c r="AZ85" s="168"/>
      <c r="BA85" s="168"/>
      <c r="BB85" s="168"/>
      <c r="BC85" s="168"/>
      <c r="BD85" s="168"/>
      <c r="BE85" s="168"/>
      <c r="BF85" s="168"/>
      <c r="BG85" s="168"/>
      <c r="BH85" s="168"/>
      <c r="BI85" s="168"/>
      <c r="BJ85" s="168"/>
      <c r="BK85" s="168"/>
      <c r="BL85" s="168"/>
      <c r="BM85" s="168"/>
      <c r="BN85" s="168"/>
      <c r="BO85" s="168"/>
    </row>
    <row r="86" spans="1:67" s="155" customFormat="1" ht="15" thickBot="1" x14ac:dyDescent="0.4">
      <c r="A86" s="179"/>
      <c r="B86" s="179"/>
      <c r="C86" s="179"/>
      <c r="D86" s="212"/>
      <c r="E86" s="179"/>
      <c r="F86" s="179"/>
      <c r="G86" s="179"/>
      <c r="H86" s="179"/>
      <c r="I86" s="179"/>
      <c r="J86" s="179"/>
      <c r="K86" s="179"/>
      <c r="L86" s="179"/>
      <c r="M86" s="163"/>
      <c r="N86" s="168"/>
      <c r="O86" s="147"/>
      <c r="P86" s="168"/>
      <c r="Q86" s="168"/>
      <c r="R86" s="168"/>
      <c r="S86" s="168"/>
      <c r="T86" s="168"/>
      <c r="U86" s="168"/>
      <c r="V86" s="168"/>
      <c r="W86" s="168"/>
      <c r="X86" s="168"/>
      <c r="Y86" s="168"/>
      <c r="Z86" s="168"/>
      <c r="AA86" s="151"/>
      <c r="AB86" s="168"/>
      <c r="AC86" s="168"/>
      <c r="AD86" s="168"/>
      <c r="AE86" s="151"/>
      <c r="AF86" s="168"/>
      <c r="AG86" s="168"/>
      <c r="AH86" s="168"/>
      <c r="AI86" s="168"/>
      <c r="AJ86" s="168"/>
      <c r="AK86" s="168"/>
      <c r="AL86" s="168"/>
      <c r="AM86" s="168"/>
      <c r="AN86" s="168"/>
      <c r="AO86" s="168"/>
      <c r="AP86" s="168"/>
      <c r="AQ86" s="168"/>
      <c r="AR86" s="168"/>
      <c r="AS86" s="168"/>
      <c r="AT86" s="168"/>
      <c r="AU86" s="168"/>
      <c r="AV86" s="168"/>
      <c r="AW86" s="168"/>
      <c r="AX86" s="168"/>
      <c r="AY86" s="168"/>
      <c r="AZ86" s="168"/>
      <c r="BA86" s="168"/>
      <c r="BB86" s="168"/>
      <c r="BC86" s="168"/>
      <c r="BD86" s="168"/>
      <c r="BE86" s="168"/>
      <c r="BF86" s="168"/>
      <c r="BG86" s="168"/>
      <c r="BH86" s="168"/>
      <c r="BI86" s="168"/>
      <c r="BJ86" s="168"/>
      <c r="BK86" s="168"/>
      <c r="BL86" s="168"/>
      <c r="BM86" s="168"/>
      <c r="BN86" s="168"/>
      <c r="BO86" s="168"/>
    </row>
    <row r="87" spans="1:67" s="155" customFormat="1" x14ac:dyDescent="0.35">
      <c r="A87" s="191" t="s">
        <v>134</v>
      </c>
      <c r="B87" s="192"/>
      <c r="C87" s="192"/>
      <c r="D87" s="213"/>
      <c r="E87" s="192"/>
      <c r="F87" s="192"/>
      <c r="G87" s="192"/>
      <c r="H87" s="192"/>
      <c r="I87" s="192"/>
      <c r="J87" s="192"/>
      <c r="K87" s="192"/>
      <c r="L87" s="192"/>
      <c r="M87" s="162"/>
      <c r="N87" s="168"/>
      <c r="O87" s="147"/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51"/>
      <c r="AB87" s="168"/>
      <c r="AC87" s="168"/>
      <c r="AD87" s="168"/>
      <c r="AE87" s="151"/>
      <c r="AF87" s="168"/>
      <c r="AG87" s="168"/>
      <c r="AH87" s="168"/>
      <c r="AI87" s="168"/>
      <c r="AJ87" s="168"/>
      <c r="AK87" s="168"/>
      <c r="AL87" s="168"/>
      <c r="AM87" s="168"/>
      <c r="AN87" s="168"/>
      <c r="AO87" s="168"/>
      <c r="AP87" s="168"/>
      <c r="AQ87" s="168"/>
      <c r="AR87" s="168"/>
      <c r="AS87" s="168"/>
      <c r="AT87" s="168"/>
      <c r="AU87" s="168"/>
      <c r="AV87" s="168"/>
      <c r="AW87" s="168"/>
      <c r="AX87" s="168"/>
      <c r="AY87" s="168"/>
      <c r="AZ87" s="168"/>
      <c r="BA87" s="168"/>
      <c r="BB87" s="168"/>
      <c r="BC87" s="168"/>
      <c r="BD87" s="168"/>
      <c r="BE87" s="168"/>
      <c r="BF87" s="168"/>
      <c r="BG87" s="168"/>
      <c r="BH87" s="168"/>
      <c r="BI87" s="168"/>
      <c r="BJ87" s="168"/>
      <c r="BK87" s="168"/>
      <c r="BL87" s="168"/>
      <c r="BM87" s="168"/>
      <c r="BN87" s="168"/>
      <c r="BO87" s="168"/>
    </row>
    <row r="88" spans="1:67" s="157" customFormat="1" ht="15" thickBot="1" x14ac:dyDescent="0.4">
      <c r="A88" s="193" t="s">
        <v>112</v>
      </c>
      <c r="B88" s="214">
        <f>((B82*$AB$27)+(B83*$AB$28)+(B84*$AB$29)+(B85*$AB$30))*30</f>
        <v>12599888.366049401</v>
      </c>
      <c r="C88" s="214">
        <f>((C82*$AB$27)+(C83*$AB$28)+(C84*$AB$29)+(C85*$AB$30))*30</f>
        <v>12599888.366049401</v>
      </c>
      <c r="D88" s="214">
        <f>((D82*$AF$27)+(D83*$AF$28)+(D84*$AF$29)+(D85*$AF$30))*30</f>
        <v>12446382.904080566</v>
      </c>
      <c r="E88" s="214">
        <f t="shared" ref="E88:K88" si="102">((E82*$AF$27)+(E83*$AF$28)+(E84*$AF$29)+(E85*$AF$30))*30</f>
        <v>12446382.904080566</v>
      </c>
      <c r="F88" s="214">
        <f t="shared" si="102"/>
        <v>12446382.904080566</v>
      </c>
      <c r="G88" s="214">
        <f t="shared" si="102"/>
        <v>12446382.904080566</v>
      </c>
      <c r="H88" s="214">
        <f t="shared" si="102"/>
        <v>12446382.904080566</v>
      </c>
      <c r="I88" s="214">
        <f t="shared" si="102"/>
        <v>12446382.904080566</v>
      </c>
      <c r="J88" s="214">
        <f t="shared" si="102"/>
        <v>12446382.904080566</v>
      </c>
      <c r="K88" s="214">
        <f t="shared" si="102"/>
        <v>12446382.904080566</v>
      </c>
      <c r="L88" s="214">
        <f>SUM(B88:K88)</f>
        <v>124770839.96474336</v>
      </c>
      <c r="M88" s="164"/>
      <c r="N88" s="168"/>
      <c r="O88" s="147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51"/>
      <c r="AB88" s="168"/>
      <c r="AC88" s="168"/>
      <c r="AD88" s="168"/>
      <c r="AE88" s="151"/>
      <c r="AF88" s="168"/>
      <c r="AG88" s="168"/>
      <c r="AH88" s="168"/>
      <c r="AI88" s="168"/>
      <c r="AJ88" s="168"/>
      <c r="AK88" s="168"/>
      <c r="AL88" s="168"/>
      <c r="AM88" s="168"/>
      <c r="AN88" s="168"/>
      <c r="AO88" s="168"/>
      <c r="AP88" s="168"/>
      <c r="AQ88" s="168"/>
      <c r="AR88" s="168"/>
      <c r="AS88" s="168"/>
      <c r="AT88" s="168"/>
      <c r="AU88" s="168"/>
      <c r="AV88" s="168"/>
      <c r="AW88" s="168"/>
      <c r="AX88" s="168"/>
      <c r="AY88" s="168"/>
      <c r="AZ88" s="168"/>
      <c r="BA88" s="168"/>
      <c r="BB88" s="168"/>
      <c r="BC88" s="168"/>
      <c r="BD88" s="168"/>
      <c r="BE88" s="168"/>
      <c r="BF88" s="168"/>
      <c r="BG88" s="168"/>
      <c r="BH88" s="168"/>
      <c r="BI88" s="168"/>
      <c r="BJ88" s="168"/>
      <c r="BK88" s="168"/>
      <c r="BL88" s="168"/>
      <c r="BM88" s="168"/>
      <c r="BN88" s="168"/>
      <c r="BO88" s="168"/>
    </row>
    <row r="89" spans="1:67" s="157" customFormat="1" ht="15" thickBot="1" x14ac:dyDescent="0.4">
      <c r="A89" s="193" t="s">
        <v>113</v>
      </c>
      <c r="B89" s="214">
        <f t="shared" ref="B89" si="103">B88/1000</f>
        <v>12599.888366049401</v>
      </c>
      <c r="C89" s="214">
        <f t="shared" ref="C89" si="104">C88/1000</f>
        <v>12599.888366049401</v>
      </c>
      <c r="D89" s="214">
        <f t="shared" ref="D89" si="105">D88/1000</f>
        <v>12446.382904080567</v>
      </c>
      <c r="E89" s="214">
        <f t="shared" ref="E89" si="106">E88/1000</f>
        <v>12446.382904080567</v>
      </c>
      <c r="F89" s="214">
        <f t="shared" ref="F89" si="107">F88/1000</f>
        <v>12446.382904080567</v>
      </c>
      <c r="G89" s="214">
        <f t="shared" ref="G89" si="108">G88/1000</f>
        <v>12446.382904080567</v>
      </c>
      <c r="H89" s="214">
        <f t="shared" ref="H89" si="109">H88/1000</f>
        <v>12446.382904080567</v>
      </c>
      <c r="I89" s="214">
        <f t="shared" ref="I89" si="110">I88/1000</f>
        <v>12446.382904080567</v>
      </c>
      <c r="J89" s="214">
        <f t="shared" ref="J89" si="111">J88/1000</f>
        <v>12446.382904080567</v>
      </c>
      <c r="K89" s="214">
        <f t="shared" ref="K89" si="112">K88/1000</f>
        <v>12446.382904080567</v>
      </c>
      <c r="L89" s="214">
        <f t="shared" ref="L89" si="113">L88/1000</f>
        <v>124770.83996474335</v>
      </c>
      <c r="M89" s="164"/>
      <c r="N89" s="168"/>
      <c r="O89" s="147"/>
      <c r="P89" s="168"/>
      <c r="Q89" s="168"/>
      <c r="R89" s="168"/>
      <c r="S89" s="168"/>
      <c r="T89" s="168"/>
      <c r="U89" s="168"/>
      <c r="V89" s="168"/>
      <c r="W89" s="168"/>
      <c r="X89" s="168"/>
      <c r="Y89" s="168"/>
      <c r="Z89" s="168"/>
      <c r="AA89" s="151"/>
      <c r="AB89" s="168"/>
      <c r="AC89" s="168"/>
      <c r="AD89" s="168"/>
      <c r="AE89" s="151"/>
      <c r="AF89" s="168"/>
      <c r="AG89" s="168"/>
      <c r="AH89" s="168"/>
      <c r="AI89" s="168"/>
      <c r="AJ89" s="168"/>
      <c r="AK89" s="168"/>
      <c r="AL89" s="168"/>
      <c r="AM89" s="168"/>
      <c r="AN89" s="168"/>
      <c r="AO89" s="168"/>
      <c r="AP89" s="168"/>
      <c r="AQ89" s="168"/>
      <c r="AR89" s="168"/>
      <c r="AS89" s="168"/>
      <c r="AT89" s="168"/>
      <c r="AU89" s="168"/>
      <c r="AV89" s="168"/>
      <c r="AW89" s="168"/>
      <c r="AX89" s="168"/>
      <c r="AY89" s="168"/>
      <c r="AZ89" s="168"/>
      <c r="BA89" s="168"/>
      <c r="BB89" s="168"/>
      <c r="BC89" s="168"/>
      <c r="BD89" s="168"/>
      <c r="BE89" s="168"/>
      <c r="BF89" s="168"/>
      <c r="BG89" s="168"/>
      <c r="BH89" s="168"/>
      <c r="BI89" s="168"/>
      <c r="BJ89" s="168"/>
      <c r="BK89" s="168"/>
      <c r="BL89" s="168"/>
      <c r="BM89" s="168"/>
      <c r="BN89" s="168"/>
      <c r="BO89" s="168"/>
    </row>
    <row r="90" spans="1:67" s="152" customFormat="1" x14ac:dyDescent="0.35">
      <c r="A90" s="193" t="s">
        <v>64</v>
      </c>
      <c r="B90" s="215">
        <f t="shared" ref="B90" si="114">B89*$X$3</f>
        <v>2948373.8776555597</v>
      </c>
      <c r="C90" s="215">
        <f t="shared" ref="C90" si="115">C89*$X$3</f>
        <v>2948373.8776555597</v>
      </c>
      <c r="D90" s="215">
        <f t="shared" ref="D90" si="116">D89*$X$3</f>
        <v>2912453.5995548526</v>
      </c>
      <c r="E90" s="215">
        <f t="shared" ref="E90" si="117">E89*$X$3</f>
        <v>2912453.5995548526</v>
      </c>
      <c r="F90" s="215">
        <f t="shared" ref="F90" si="118">F89*$X$3</f>
        <v>2912453.5995548526</v>
      </c>
      <c r="G90" s="215">
        <f t="shared" ref="G90" si="119">G89*$X$3</f>
        <v>2912453.5995548526</v>
      </c>
      <c r="H90" s="215">
        <f t="shared" ref="H90" si="120">H89*$X$3</f>
        <v>2912453.5995548526</v>
      </c>
      <c r="I90" s="215">
        <f t="shared" ref="I90" si="121">I89*$X$3</f>
        <v>2912453.5995548526</v>
      </c>
      <c r="J90" s="215">
        <f t="shared" ref="J90" si="122">J89*$X$3</f>
        <v>2912453.5995548526</v>
      </c>
      <c r="K90" s="215">
        <f t="shared" ref="K90" si="123">K89*$X$3</f>
        <v>2912453.5995548526</v>
      </c>
      <c r="L90" s="215">
        <f t="shared" ref="L90" si="124">L89*$X$3</f>
        <v>29196376.551749945</v>
      </c>
      <c r="M90" s="159"/>
      <c r="N90" s="168"/>
      <c r="O90" s="147"/>
      <c r="P90" s="168"/>
      <c r="Q90" s="168"/>
      <c r="R90" s="168"/>
      <c r="S90" s="168"/>
      <c r="T90" s="168"/>
      <c r="U90" s="168"/>
      <c r="V90" s="168"/>
      <c r="W90" s="168"/>
      <c r="X90" s="168"/>
      <c r="Y90" s="168"/>
      <c r="Z90" s="168"/>
      <c r="AA90" s="151"/>
      <c r="AB90" s="168"/>
      <c r="AC90" s="168"/>
      <c r="AD90" s="168"/>
      <c r="AE90" s="151"/>
      <c r="AF90" s="168"/>
      <c r="AG90" s="168"/>
      <c r="AH90" s="168"/>
      <c r="AI90" s="168"/>
      <c r="AJ90" s="168"/>
      <c r="AK90" s="168"/>
      <c r="AL90" s="168"/>
      <c r="AM90" s="168"/>
      <c r="AN90" s="168"/>
      <c r="AO90" s="168"/>
      <c r="AP90" s="168"/>
      <c r="AQ90" s="168"/>
      <c r="AR90" s="168"/>
      <c r="AS90" s="168"/>
      <c r="AT90" s="168"/>
      <c r="AU90" s="168"/>
      <c r="AV90" s="168"/>
      <c r="AW90" s="168"/>
      <c r="AX90" s="168"/>
      <c r="AY90" s="168"/>
      <c r="AZ90" s="168"/>
      <c r="BA90" s="168"/>
      <c r="BB90" s="168"/>
      <c r="BC90" s="168"/>
      <c r="BD90" s="168"/>
      <c r="BE90" s="168"/>
      <c r="BF90" s="168"/>
      <c r="BG90" s="168"/>
      <c r="BH90" s="168"/>
      <c r="BI90" s="168"/>
      <c r="BJ90" s="168"/>
      <c r="BK90" s="168"/>
      <c r="BL90" s="168"/>
      <c r="BM90" s="168"/>
      <c r="BN90" s="168"/>
      <c r="BO90" s="168"/>
    </row>
    <row r="91" spans="1:67" s="152" customFormat="1" x14ac:dyDescent="0.35">
      <c r="A91" s="193"/>
      <c r="B91" s="194"/>
      <c r="C91" s="194"/>
      <c r="D91" s="214"/>
      <c r="E91" s="194"/>
      <c r="F91" s="194"/>
      <c r="G91" s="194"/>
      <c r="H91" s="194"/>
      <c r="I91" s="194"/>
      <c r="J91" s="194"/>
      <c r="K91" s="194"/>
      <c r="L91" s="194"/>
      <c r="M91" s="159"/>
      <c r="N91" s="168"/>
      <c r="O91" s="147"/>
      <c r="P91" s="168"/>
      <c r="Q91" s="168"/>
      <c r="R91" s="168"/>
      <c r="S91" s="168"/>
      <c r="T91" s="168"/>
      <c r="U91" s="168"/>
      <c r="V91" s="168"/>
      <c r="W91" s="168"/>
      <c r="X91" s="168"/>
      <c r="Y91" s="168"/>
      <c r="Z91" s="168"/>
      <c r="AA91" s="151"/>
      <c r="AB91" s="168"/>
      <c r="AC91" s="168"/>
      <c r="AD91" s="168"/>
      <c r="AE91" s="151"/>
      <c r="AF91" s="168"/>
      <c r="AG91" s="168"/>
      <c r="AH91" s="168"/>
      <c r="AI91" s="168"/>
      <c r="AJ91" s="168"/>
      <c r="AK91" s="168"/>
      <c r="AL91" s="168"/>
      <c r="AM91" s="168"/>
      <c r="AN91" s="168"/>
      <c r="AO91" s="168"/>
      <c r="AP91" s="168"/>
      <c r="AQ91" s="168"/>
      <c r="AR91" s="168"/>
      <c r="AS91" s="168"/>
      <c r="AT91" s="168"/>
      <c r="AU91" s="168"/>
      <c r="AV91" s="168"/>
      <c r="AW91" s="168"/>
      <c r="AX91" s="168"/>
      <c r="AY91" s="168"/>
      <c r="AZ91" s="168"/>
      <c r="BA91" s="168"/>
      <c r="BB91" s="168"/>
      <c r="BC91" s="168"/>
      <c r="BD91" s="168"/>
      <c r="BE91" s="168"/>
      <c r="BF91" s="168"/>
      <c r="BG91" s="168"/>
      <c r="BH91" s="168"/>
      <c r="BI91" s="168"/>
      <c r="BJ91" s="168"/>
      <c r="BK91" s="168"/>
      <c r="BL91" s="168"/>
      <c r="BM91" s="168"/>
      <c r="BN91" s="168"/>
      <c r="BO91" s="168"/>
    </row>
    <row r="92" spans="1:67" s="152" customFormat="1" ht="15" thickBot="1" x14ac:dyDescent="0.4">
      <c r="A92" s="197"/>
      <c r="B92" s="198"/>
      <c r="C92" s="198"/>
      <c r="D92" s="216"/>
      <c r="E92" s="198"/>
      <c r="F92" s="198"/>
      <c r="G92" s="198"/>
      <c r="H92" s="198"/>
      <c r="I92" s="198"/>
      <c r="J92" s="198"/>
      <c r="K92" s="198"/>
      <c r="L92" s="198"/>
      <c r="M92" s="159"/>
      <c r="N92" s="168"/>
      <c r="O92" s="147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  <c r="AA92" s="151"/>
      <c r="AB92" s="168"/>
      <c r="AC92" s="168"/>
      <c r="AD92" s="168"/>
      <c r="AE92" s="151"/>
      <c r="AF92" s="168"/>
      <c r="AG92" s="168"/>
      <c r="AH92" s="168"/>
      <c r="AI92" s="168"/>
      <c r="AJ92" s="168"/>
      <c r="AK92" s="168"/>
      <c r="AL92" s="168"/>
      <c r="AM92" s="168"/>
      <c r="AN92" s="168"/>
      <c r="AO92" s="168"/>
      <c r="AP92" s="168"/>
      <c r="AQ92" s="168"/>
      <c r="AR92" s="168"/>
      <c r="AS92" s="168"/>
      <c r="AT92" s="168"/>
      <c r="AU92" s="168"/>
      <c r="AV92" s="168"/>
      <c r="AW92" s="168"/>
      <c r="AX92" s="168"/>
      <c r="AY92" s="168"/>
      <c r="AZ92" s="168"/>
      <c r="BA92" s="168"/>
      <c r="BB92" s="168"/>
      <c r="BC92" s="168"/>
      <c r="BD92" s="168"/>
      <c r="BE92" s="168"/>
      <c r="BF92" s="168"/>
      <c r="BG92" s="168"/>
      <c r="BH92" s="168"/>
      <c r="BI92" s="168"/>
      <c r="BJ92" s="168"/>
      <c r="BK92" s="168"/>
      <c r="BL92" s="168"/>
      <c r="BM92" s="168"/>
      <c r="BN92" s="168"/>
      <c r="BO92" s="168"/>
    </row>
    <row r="93" spans="1:67" s="152" customFormat="1" x14ac:dyDescent="0.35">
      <c r="A93" s="179"/>
      <c r="B93" s="179"/>
      <c r="C93" s="179"/>
      <c r="D93" s="212"/>
      <c r="E93" s="179"/>
      <c r="F93" s="179"/>
      <c r="G93" s="179"/>
      <c r="H93" s="179"/>
      <c r="I93" s="179"/>
      <c r="J93" s="179"/>
      <c r="K93" s="179"/>
      <c r="L93" s="179"/>
      <c r="M93" s="160"/>
      <c r="N93" s="168"/>
      <c r="O93" s="147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  <c r="AA93" s="151"/>
      <c r="AB93" s="168"/>
      <c r="AC93" s="168"/>
      <c r="AD93" s="168"/>
      <c r="AE93" s="151"/>
      <c r="AF93" s="168"/>
      <c r="AG93" s="168"/>
      <c r="AH93" s="168"/>
      <c r="AI93" s="168"/>
      <c r="AJ93" s="168"/>
      <c r="AK93" s="168"/>
      <c r="AL93" s="168"/>
      <c r="AM93" s="168"/>
      <c r="AN93" s="168"/>
      <c r="AO93" s="168"/>
      <c r="AP93" s="168"/>
      <c r="AQ93" s="168"/>
      <c r="AR93" s="168"/>
      <c r="AS93" s="168"/>
      <c r="AT93" s="168"/>
      <c r="AU93" s="168"/>
      <c r="AV93" s="168"/>
      <c r="AW93" s="168"/>
      <c r="AX93" s="168"/>
      <c r="AY93" s="168"/>
      <c r="AZ93" s="168"/>
      <c r="BA93" s="168"/>
      <c r="BB93" s="168"/>
      <c r="BC93" s="168"/>
      <c r="BD93" s="168"/>
      <c r="BE93" s="168"/>
      <c r="BF93" s="168"/>
      <c r="BG93" s="168"/>
      <c r="BH93" s="168"/>
      <c r="BI93" s="168"/>
      <c r="BJ93" s="168"/>
      <c r="BK93" s="168"/>
      <c r="BL93" s="168"/>
      <c r="BM93" s="168"/>
      <c r="BN93" s="168"/>
      <c r="BO93" s="168"/>
    </row>
    <row r="94" spans="1:67" s="152" customFormat="1" x14ac:dyDescent="0.35">
      <c r="A94" s="179"/>
      <c r="B94" s="179"/>
      <c r="C94" s="179"/>
      <c r="D94" s="212"/>
      <c r="E94" s="179"/>
      <c r="F94" s="179"/>
      <c r="G94" s="179"/>
      <c r="H94" s="179"/>
      <c r="I94" s="179"/>
      <c r="J94" s="179"/>
      <c r="K94" s="179"/>
      <c r="L94" s="179"/>
      <c r="M94" s="159"/>
      <c r="N94" s="168"/>
      <c r="O94" s="147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  <c r="AA94" s="151"/>
      <c r="AB94" s="168"/>
      <c r="AC94" s="168"/>
      <c r="AD94" s="168"/>
      <c r="AE94" s="151"/>
      <c r="AF94" s="168"/>
      <c r="AG94" s="168"/>
      <c r="AH94" s="168"/>
      <c r="AI94" s="168"/>
      <c r="AJ94" s="168"/>
      <c r="AK94" s="168"/>
      <c r="AL94" s="168"/>
      <c r="AM94" s="168"/>
      <c r="AN94" s="168"/>
      <c r="AO94" s="168"/>
      <c r="AP94" s="168"/>
      <c r="AQ94" s="168"/>
      <c r="AR94" s="168"/>
      <c r="AS94" s="168"/>
      <c r="AT94" s="168"/>
      <c r="AU94" s="168"/>
      <c r="AV94" s="168"/>
      <c r="AW94" s="168"/>
      <c r="AX94" s="168"/>
      <c r="AY94" s="168"/>
      <c r="AZ94" s="168"/>
      <c r="BA94" s="168"/>
      <c r="BB94" s="168"/>
      <c r="BC94" s="168"/>
      <c r="BD94" s="168"/>
      <c r="BE94" s="168"/>
      <c r="BF94" s="168"/>
      <c r="BG94" s="168"/>
      <c r="BH94" s="168"/>
      <c r="BI94" s="168"/>
      <c r="BJ94" s="168"/>
      <c r="BK94" s="168"/>
      <c r="BL94" s="168"/>
      <c r="BM94" s="168"/>
      <c r="BN94" s="168"/>
      <c r="BO94" s="168"/>
    </row>
    <row r="95" spans="1:67" s="152" customFormat="1" x14ac:dyDescent="0.35">
      <c r="A95" s="180" t="s">
        <v>0</v>
      </c>
      <c r="B95" s="182" t="s">
        <v>10</v>
      </c>
      <c r="C95" s="182" t="s">
        <v>11</v>
      </c>
      <c r="D95" s="209" t="s">
        <v>12</v>
      </c>
      <c r="E95" s="182" t="s">
        <v>13</v>
      </c>
      <c r="F95" s="182" t="s">
        <v>14</v>
      </c>
      <c r="G95" s="182" t="s">
        <v>15</v>
      </c>
      <c r="H95" s="182" t="s">
        <v>16</v>
      </c>
      <c r="I95" s="183" t="s">
        <v>17</v>
      </c>
      <c r="J95" s="184" t="s">
        <v>23</v>
      </c>
      <c r="K95" s="184" t="s">
        <v>24</v>
      </c>
      <c r="L95" s="185" t="s">
        <v>18</v>
      </c>
      <c r="M95" s="159"/>
      <c r="N95" s="168"/>
      <c r="O95" s="147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51"/>
      <c r="AB95" s="168"/>
      <c r="AC95" s="168"/>
      <c r="AD95" s="168"/>
      <c r="AE95" s="151"/>
      <c r="AF95" s="168"/>
      <c r="AG95" s="168"/>
      <c r="AH95" s="168"/>
      <c r="AI95" s="168"/>
      <c r="AJ95" s="168"/>
      <c r="AK95" s="168"/>
      <c r="AL95" s="168"/>
      <c r="AM95" s="168"/>
      <c r="AN95" s="168"/>
      <c r="AO95" s="168"/>
      <c r="AP95" s="168"/>
      <c r="AQ95" s="168"/>
      <c r="AR95" s="168"/>
      <c r="AS95" s="168"/>
      <c r="AT95" s="168"/>
      <c r="AU95" s="168"/>
      <c r="AV95" s="168"/>
      <c r="AW95" s="168"/>
      <c r="AX95" s="168"/>
      <c r="AY95" s="168"/>
      <c r="AZ95" s="168"/>
      <c r="BA95" s="168"/>
      <c r="BB95" s="168"/>
      <c r="BC95" s="168"/>
      <c r="BD95" s="168"/>
      <c r="BE95" s="168"/>
      <c r="BF95" s="168"/>
      <c r="BG95" s="168"/>
      <c r="BH95" s="168"/>
      <c r="BI95" s="168"/>
      <c r="BJ95" s="168"/>
      <c r="BK95" s="168"/>
      <c r="BL95" s="168"/>
      <c r="BM95" s="168"/>
      <c r="BN95" s="168"/>
      <c r="BO95" s="168"/>
    </row>
    <row r="96" spans="1:67" s="152" customFormat="1" x14ac:dyDescent="0.35">
      <c r="A96" s="154" t="s">
        <v>32</v>
      </c>
      <c r="B96" s="199">
        <v>764</v>
      </c>
      <c r="C96" s="199">
        <v>764</v>
      </c>
      <c r="D96" s="217">
        <v>764</v>
      </c>
      <c r="E96" s="199">
        <v>764</v>
      </c>
      <c r="F96" s="199">
        <v>764</v>
      </c>
      <c r="G96" s="199">
        <v>764</v>
      </c>
      <c r="H96" s="199">
        <v>764</v>
      </c>
      <c r="I96" s="199">
        <v>764</v>
      </c>
      <c r="J96" s="199">
        <v>764</v>
      </c>
      <c r="K96" s="199">
        <v>764</v>
      </c>
      <c r="L96" s="186">
        <f>SUM(B96:K96)</f>
        <v>7640</v>
      </c>
      <c r="M96" s="159"/>
      <c r="N96" s="168"/>
      <c r="O96" s="147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  <c r="AA96" s="151"/>
      <c r="AB96" s="168"/>
      <c r="AC96" s="168"/>
      <c r="AD96" s="168"/>
      <c r="AE96" s="151"/>
      <c r="AF96" s="168"/>
      <c r="AG96" s="168"/>
      <c r="AH96" s="168"/>
      <c r="AI96" s="168"/>
      <c r="AJ96" s="168"/>
      <c r="AK96" s="168"/>
      <c r="AL96" s="168"/>
      <c r="AM96" s="168"/>
      <c r="AN96" s="168"/>
      <c r="AO96" s="168"/>
      <c r="AP96" s="168"/>
      <c r="AQ96" s="168"/>
      <c r="AR96" s="168"/>
      <c r="AS96" s="168"/>
      <c r="AT96" s="168"/>
      <c r="AU96" s="168"/>
      <c r="AV96" s="168"/>
      <c r="AW96" s="168"/>
      <c r="AX96" s="168"/>
      <c r="AY96" s="168"/>
      <c r="AZ96" s="168"/>
      <c r="BA96" s="168"/>
      <c r="BB96" s="168"/>
      <c r="BC96" s="168"/>
      <c r="BD96" s="168"/>
      <c r="BE96" s="168"/>
      <c r="BF96" s="168"/>
      <c r="BG96" s="168"/>
      <c r="BH96" s="168"/>
      <c r="BI96" s="168"/>
      <c r="BJ96" s="168"/>
      <c r="BK96" s="168"/>
      <c r="BL96" s="168"/>
      <c r="BM96" s="168"/>
      <c r="BN96" s="168"/>
      <c r="BO96" s="168"/>
    </row>
    <row r="97" spans="1:67" s="158" customFormat="1" x14ac:dyDescent="0.35">
      <c r="A97" s="187" t="s">
        <v>20</v>
      </c>
      <c r="B97" s="201">
        <f>'housing proportion projections'!L36</f>
        <v>181.25388923459863</v>
      </c>
      <c r="C97" s="201">
        <f>'housing proportion projections'!M36</f>
        <v>181.25388923459863</v>
      </c>
      <c r="D97" s="201">
        <f>'housing proportion projections'!N36</f>
        <v>181.25388923459863</v>
      </c>
      <c r="E97" s="201">
        <f>'housing proportion projections'!O36</f>
        <v>181.25388923459863</v>
      </c>
      <c r="F97" s="201">
        <f>'housing proportion projections'!P36</f>
        <v>181.25388923459863</v>
      </c>
      <c r="G97" s="201">
        <f>'housing proportion projections'!Q36</f>
        <v>181.25388923459863</v>
      </c>
      <c r="H97" s="201">
        <f>'housing proportion projections'!R36</f>
        <v>181.25388923459863</v>
      </c>
      <c r="I97" s="201">
        <f>'housing proportion projections'!S36</f>
        <v>181.25388923459863</v>
      </c>
      <c r="J97" s="201">
        <f>'housing proportion projections'!T36</f>
        <v>181.25388923459863</v>
      </c>
      <c r="K97" s="201">
        <f>'housing proportion projections'!U36</f>
        <v>181.25388923459863</v>
      </c>
      <c r="L97" s="186">
        <f t="shared" ref="L97:L100" si="125">SUM(B97:K97)</f>
        <v>1812.5388923459859</v>
      </c>
      <c r="M97" s="167"/>
      <c r="N97" s="168"/>
      <c r="O97" s="147"/>
      <c r="P97" s="168"/>
      <c r="Q97" s="168"/>
      <c r="R97" s="168"/>
      <c r="S97" s="168"/>
      <c r="T97" s="168"/>
      <c r="U97" s="168"/>
      <c r="V97" s="168"/>
      <c r="W97" s="168"/>
      <c r="X97" s="168"/>
      <c r="Y97" s="168"/>
      <c r="Z97" s="168"/>
      <c r="AA97" s="151"/>
      <c r="AB97" s="168"/>
      <c r="AC97" s="168"/>
      <c r="AD97" s="168"/>
      <c r="AE97" s="151"/>
      <c r="AF97" s="168"/>
      <c r="AG97" s="168"/>
      <c r="AH97" s="168"/>
      <c r="AI97" s="168"/>
      <c r="AJ97" s="168"/>
      <c r="AK97" s="168"/>
      <c r="AL97" s="168"/>
      <c r="AM97" s="168"/>
      <c r="AN97" s="168"/>
      <c r="AO97" s="168"/>
      <c r="AP97" s="168"/>
      <c r="AQ97" s="168"/>
      <c r="AR97" s="168"/>
      <c r="AS97" s="168"/>
      <c r="AT97" s="168"/>
      <c r="AU97" s="168"/>
      <c r="AV97" s="168"/>
      <c r="AW97" s="168"/>
      <c r="AX97" s="168"/>
      <c r="AY97" s="168"/>
      <c r="AZ97" s="168"/>
      <c r="BA97" s="168"/>
      <c r="BB97" s="168"/>
      <c r="BC97" s="168"/>
      <c r="BD97" s="168"/>
      <c r="BE97" s="168"/>
      <c r="BF97" s="168"/>
      <c r="BG97" s="168"/>
      <c r="BH97" s="168"/>
      <c r="BI97" s="168"/>
      <c r="BJ97" s="168"/>
      <c r="BK97" s="168"/>
      <c r="BL97" s="168"/>
      <c r="BM97" s="168"/>
      <c r="BN97" s="168"/>
      <c r="BO97" s="168"/>
    </row>
    <row r="98" spans="1:67" s="152" customFormat="1" ht="15" thickBot="1" x14ac:dyDescent="0.4">
      <c r="A98" s="187" t="s">
        <v>21</v>
      </c>
      <c r="B98" s="201">
        <f>'housing proportion projections'!L37</f>
        <v>280.61667703795894</v>
      </c>
      <c r="C98" s="201">
        <f>'housing proportion projections'!M37</f>
        <v>280.61667703795894</v>
      </c>
      <c r="D98" s="201">
        <f>'housing proportion projections'!N37</f>
        <v>280.61667703795894</v>
      </c>
      <c r="E98" s="201">
        <f>'housing proportion projections'!O37</f>
        <v>280.61667703795894</v>
      </c>
      <c r="F98" s="201">
        <f>'housing proportion projections'!P37</f>
        <v>280.61667703795894</v>
      </c>
      <c r="G98" s="201">
        <f>'housing proportion projections'!Q37</f>
        <v>280.61667703795894</v>
      </c>
      <c r="H98" s="201">
        <f>'housing proportion projections'!R37</f>
        <v>280.61667703795894</v>
      </c>
      <c r="I98" s="201">
        <f>'housing proportion projections'!S37</f>
        <v>280.61667703795894</v>
      </c>
      <c r="J98" s="201">
        <f>'housing proportion projections'!T37</f>
        <v>280.61667703795894</v>
      </c>
      <c r="K98" s="201">
        <f>'housing proportion projections'!U37</f>
        <v>280.61667703795894</v>
      </c>
      <c r="L98" s="186">
        <f t="shared" si="125"/>
        <v>2806.1667703795897</v>
      </c>
      <c r="M98" s="159"/>
      <c r="N98" s="168"/>
      <c r="O98" s="147"/>
      <c r="P98" s="168"/>
      <c r="Q98" s="168"/>
      <c r="R98" s="168"/>
      <c r="S98" s="168"/>
      <c r="T98" s="168"/>
      <c r="U98" s="168"/>
      <c r="V98" s="168"/>
      <c r="W98" s="168"/>
      <c r="X98" s="168"/>
      <c r="Y98" s="168"/>
      <c r="Z98" s="168"/>
      <c r="AA98" s="151"/>
      <c r="AB98" s="168"/>
      <c r="AC98" s="168"/>
      <c r="AD98" s="168"/>
      <c r="AE98" s="151"/>
      <c r="AF98" s="168"/>
      <c r="AG98" s="168"/>
      <c r="AH98" s="168"/>
      <c r="AI98" s="168"/>
      <c r="AJ98" s="168"/>
      <c r="AK98" s="168"/>
      <c r="AL98" s="168"/>
      <c r="AM98" s="168"/>
      <c r="AN98" s="168"/>
      <c r="AO98" s="168"/>
      <c r="AP98" s="168"/>
      <c r="AQ98" s="168"/>
      <c r="AR98" s="168"/>
      <c r="AS98" s="168"/>
      <c r="AT98" s="168"/>
      <c r="AU98" s="168"/>
      <c r="AV98" s="168"/>
      <c r="AW98" s="168"/>
      <c r="AX98" s="168"/>
      <c r="AY98" s="168"/>
      <c r="AZ98" s="168"/>
      <c r="BA98" s="168"/>
      <c r="BB98" s="168"/>
      <c r="BC98" s="168"/>
      <c r="BD98" s="168"/>
      <c r="BE98" s="168"/>
      <c r="BF98" s="168"/>
      <c r="BG98" s="168"/>
      <c r="BH98" s="168"/>
      <c r="BI98" s="168"/>
      <c r="BJ98" s="168"/>
      <c r="BK98" s="168"/>
      <c r="BL98" s="168"/>
      <c r="BM98" s="168"/>
      <c r="BN98" s="168"/>
      <c r="BO98" s="168"/>
    </row>
    <row r="99" spans="1:67" s="156" customFormat="1" x14ac:dyDescent="0.35">
      <c r="A99" s="187" t="s">
        <v>26</v>
      </c>
      <c r="B99" s="201">
        <f>'housing proportion projections'!L38</f>
        <v>177.56938394523957</v>
      </c>
      <c r="C99" s="201">
        <f>'housing proportion projections'!M38</f>
        <v>177.56938394523957</v>
      </c>
      <c r="D99" s="201">
        <f>'housing proportion projections'!N38</f>
        <v>177.56938394523957</v>
      </c>
      <c r="E99" s="201">
        <f>'housing proportion projections'!O38</f>
        <v>177.56938394523957</v>
      </c>
      <c r="F99" s="201">
        <f>'housing proportion projections'!P38</f>
        <v>177.56938394523957</v>
      </c>
      <c r="G99" s="201">
        <f>'housing proportion projections'!Q38</f>
        <v>177.56938394523957</v>
      </c>
      <c r="H99" s="201">
        <f>'housing proportion projections'!R38</f>
        <v>177.56938394523957</v>
      </c>
      <c r="I99" s="201">
        <f>'housing proportion projections'!S38</f>
        <v>177.56938394523957</v>
      </c>
      <c r="J99" s="201">
        <f>'housing proportion projections'!T38</f>
        <v>177.56938394523957</v>
      </c>
      <c r="K99" s="201">
        <f>'housing proportion projections'!U38</f>
        <v>177.56938394523957</v>
      </c>
      <c r="L99" s="186">
        <f t="shared" si="125"/>
        <v>1775.6938394523959</v>
      </c>
      <c r="M99" s="161"/>
      <c r="N99" s="168"/>
      <c r="O99" s="147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  <c r="AA99" s="151"/>
      <c r="AB99" s="168"/>
      <c r="AC99" s="168"/>
      <c r="AD99" s="168"/>
      <c r="AE99" s="151"/>
      <c r="AF99" s="168"/>
      <c r="AG99" s="168"/>
      <c r="AH99" s="168"/>
      <c r="AI99" s="168"/>
      <c r="AJ99" s="168"/>
      <c r="AK99" s="168"/>
      <c r="AL99" s="168"/>
      <c r="AM99" s="168"/>
      <c r="AN99" s="168"/>
      <c r="AO99" s="168"/>
      <c r="AP99" s="168"/>
      <c r="AQ99" s="168"/>
      <c r="AR99" s="168"/>
      <c r="AS99" s="168"/>
      <c r="AT99" s="168"/>
      <c r="AU99" s="168"/>
      <c r="AV99" s="168"/>
      <c r="AW99" s="168"/>
      <c r="AX99" s="168"/>
      <c r="AY99" s="168"/>
      <c r="AZ99" s="168"/>
      <c r="BA99" s="168"/>
      <c r="BB99" s="168"/>
      <c r="BC99" s="168"/>
      <c r="BD99" s="168"/>
      <c r="BE99" s="168"/>
      <c r="BF99" s="168"/>
      <c r="BG99" s="168"/>
      <c r="BH99" s="168"/>
      <c r="BI99" s="168"/>
      <c r="BJ99" s="168"/>
      <c r="BK99" s="168"/>
      <c r="BL99" s="168"/>
      <c r="BM99" s="168"/>
      <c r="BN99" s="168"/>
      <c r="BO99" s="168"/>
    </row>
    <row r="100" spans="1:67" s="155" customFormat="1" x14ac:dyDescent="0.35">
      <c r="A100" s="190" t="s">
        <v>22</v>
      </c>
      <c r="B100" s="201">
        <f>'housing proportion projections'!L39</f>
        <v>124.56004978220285</v>
      </c>
      <c r="C100" s="201">
        <f>'housing proportion projections'!M39</f>
        <v>124.56004978220285</v>
      </c>
      <c r="D100" s="201">
        <f>'housing proportion projections'!N39</f>
        <v>124.56004978220285</v>
      </c>
      <c r="E100" s="201">
        <f>'housing proportion projections'!O39</f>
        <v>124.56004978220285</v>
      </c>
      <c r="F100" s="201">
        <f>'housing proportion projections'!P39</f>
        <v>124.56004978220285</v>
      </c>
      <c r="G100" s="201">
        <f>'housing proportion projections'!Q39</f>
        <v>124.56004978220285</v>
      </c>
      <c r="H100" s="201">
        <f>'housing proportion projections'!R39</f>
        <v>124.56004978220285</v>
      </c>
      <c r="I100" s="201">
        <f>'housing proportion projections'!S39</f>
        <v>124.56004978220285</v>
      </c>
      <c r="J100" s="201">
        <f>'housing proportion projections'!T39</f>
        <v>124.56004978220285</v>
      </c>
      <c r="K100" s="201">
        <f>'housing proportion projections'!U39</f>
        <v>124.56004978220285</v>
      </c>
      <c r="L100" s="186">
        <f t="shared" si="125"/>
        <v>1245.6004978220287</v>
      </c>
      <c r="M100" s="162"/>
      <c r="N100" s="168"/>
      <c r="O100" s="147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  <c r="AA100" s="151"/>
      <c r="AB100" s="168"/>
      <c r="AC100" s="168"/>
      <c r="AD100" s="168"/>
      <c r="AE100" s="151"/>
      <c r="AF100" s="168"/>
      <c r="AG100" s="168"/>
      <c r="AH100" s="168"/>
      <c r="AI100" s="168"/>
      <c r="AJ100" s="168"/>
      <c r="AK100" s="168"/>
      <c r="AL100" s="168"/>
      <c r="AM100" s="168"/>
      <c r="AN100" s="168"/>
      <c r="AO100" s="168"/>
      <c r="AP100" s="168"/>
      <c r="AQ100" s="168"/>
      <c r="AR100" s="168"/>
      <c r="AS100" s="168"/>
      <c r="AT100" s="168"/>
      <c r="AU100" s="168"/>
      <c r="AV100" s="168"/>
      <c r="AW100" s="168"/>
      <c r="AX100" s="168"/>
      <c r="AY100" s="168"/>
      <c r="AZ100" s="168"/>
      <c r="BA100" s="168"/>
      <c r="BB100" s="168"/>
      <c r="BC100" s="168"/>
      <c r="BD100" s="168"/>
      <c r="BE100" s="168"/>
      <c r="BF100" s="168"/>
      <c r="BG100" s="168"/>
      <c r="BH100" s="168"/>
      <c r="BI100" s="168"/>
      <c r="BJ100" s="168"/>
      <c r="BK100" s="168"/>
      <c r="BL100" s="168"/>
      <c r="BM100" s="168"/>
      <c r="BN100" s="168"/>
      <c r="BO100" s="168"/>
    </row>
    <row r="101" spans="1:67" s="155" customFormat="1" ht="15" thickBot="1" x14ac:dyDescent="0.4">
      <c r="A101" s="179"/>
      <c r="B101" s="179"/>
      <c r="C101" s="179"/>
      <c r="D101" s="212"/>
      <c r="E101" s="179"/>
      <c r="F101" s="179"/>
      <c r="G101" s="179"/>
      <c r="H101" s="179"/>
      <c r="I101" s="179"/>
      <c r="J101" s="179"/>
      <c r="K101" s="179"/>
      <c r="L101" s="179"/>
      <c r="M101" s="163"/>
      <c r="N101" s="168"/>
      <c r="O101" s="147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  <c r="Z101" s="168"/>
      <c r="AA101" s="151"/>
      <c r="AB101" s="168"/>
      <c r="AC101" s="168"/>
      <c r="AD101" s="168"/>
      <c r="AE101" s="151"/>
      <c r="AF101" s="168"/>
      <c r="AG101" s="168"/>
      <c r="AH101" s="168"/>
      <c r="AI101" s="168"/>
      <c r="AJ101" s="168"/>
      <c r="AK101" s="168"/>
      <c r="AL101" s="168"/>
      <c r="AM101" s="168"/>
      <c r="AN101" s="168"/>
      <c r="AO101" s="168"/>
      <c r="AP101" s="168"/>
      <c r="AQ101" s="168"/>
      <c r="AR101" s="168"/>
      <c r="AS101" s="168"/>
      <c r="AT101" s="168"/>
      <c r="AU101" s="168"/>
      <c r="AV101" s="168"/>
      <c r="AW101" s="168"/>
      <c r="AX101" s="168"/>
      <c r="AY101" s="168"/>
      <c r="AZ101" s="168"/>
      <c r="BA101" s="168"/>
      <c r="BB101" s="168"/>
      <c r="BC101" s="168"/>
      <c r="BD101" s="168"/>
      <c r="BE101" s="168"/>
      <c r="BF101" s="168"/>
      <c r="BG101" s="168"/>
      <c r="BH101" s="168"/>
      <c r="BI101" s="168"/>
      <c r="BJ101" s="168"/>
      <c r="BK101" s="168"/>
      <c r="BL101" s="168"/>
      <c r="BM101" s="168"/>
      <c r="BN101" s="168"/>
      <c r="BO101" s="168"/>
    </row>
    <row r="102" spans="1:67" s="155" customFormat="1" x14ac:dyDescent="0.35">
      <c r="A102" s="191" t="s">
        <v>134</v>
      </c>
      <c r="B102" s="192"/>
      <c r="C102" s="192"/>
      <c r="D102" s="213"/>
      <c r="E102" s="192"/>
      <c r="F102" s="192"/>
      <c r="G102" s="192"/>
      <c r="H102" s="192"/>
      <c r="I102" s="192"/>
      <c r="J102" s="192"/>
      <c r="K102" s="192"/>
      <c r="L102" s="192"/>
      <c r="M102" s="162"/>
      <c r="N102" s="168"/>
      <c r="O102" s="147"/>
      <c r="P102" s="168"/>
      <c r="Q102" s="168"/>
      <c r="R102" s="168"/>
      <c r="S102" s="168"/>
      <c r="T102" s="168"/>
      <c r="U102" s="168"/>
      <c r="V102" s="168"/>
      <c r="W102" s="168"/>
      <c r="X102" s="168"/>
      <c r="Y102" s="168"/>
      <c r="Z102" s="168"/>
      <c r="AA102" s="151"/>
      <c r="AB102" s="168"/>
      <c r="AC102" s="168"/>
      <c r="AD102" s="168"/>
      <c r="AE102" s="151"/>
      <c r="AF102" s="168"/>
      <c r="AG102" s="168"/>
      <c r="AH102" s="168"/>
      <c r="AI102" s="168"/>
      <c r="AJ102" s="168"/>
      <c r="AK102" s="168"/>
      <c r="AL102" s="168"/>
      <c r="AM102" s="168"/>
      <c r="AN102" s="168"/>
      <c r="AO102" s="168"/>
      <c r="AP102" s="168"/>
      <c r="AQ102" s="168"/>
      <c r="AR102" s="168"/>
      <c r="AS102" s="168"/>
      <c r="AT102" s="168"/>
      <c r="AU102" s="168"/>
      <c r="AV102" s="168"/>
      <c r="AW102" s="168"/>
      <c r="AX102" s="168"/>
      <c r="AY102" s="168"/>
      <c r="AZ102" s="168"/>
      <c r="BA102" s="168"/>
      <c r="BB102" s="168"/>
      <c r="BC102" s="168"/>
      <c r="BD102" s="168"/>
      <c r="BE102" s="168"/>
      <c r="BF102" s="168"/>
      <c r="BG102" s="168"/>
      <c r="BH102" s="168"/>
      <c r="BI102" s="168"/>
      <c r="BJ102" s="168"/>
      <c r="BK102" s="168"/>
      <c r="BL102" s="168"/>
      <c r="BM102" s="168"/>
      <c r="BN102" s="168"/>
      <c r="BO102" s="168"/>
    </row>
    <row r="103" spans="1:67" s="157" customFormat="1" ht="15" thickBot="1" x14ac:dyDescent="0.4">
      <c r="A103" s="193" t="s">
        <v>112</v>
      </c>
      <c r="B103" s="214">
        <f>((B97*$AB$27)+(B98*$AB$28)+(B99*$AB$29)+(B100*$AB$30))*30</f>
        <v>6107872.7337098196</v>
      </c>
      <c r="C103" s="214">
        <f>((C97*$AB$27)+(C98*$AB$28)+(C99*$AB$29)+(C100*$AB$30))*30</f>
        <v>6107872.7337098196</v>
      </c>
      <c r="D103" s="214">
        <f>((D97*$AF$27)+(D98*$AF$28)+(D99*$AF$29)+(D100*$AF$30))*30</f>
        <v>6035922.482611944</v>
      </c>
      <c r="E103" s="214">
        <f t="shared" ref="E103:K103" si="126">((E97*$AF$27)+(E98*$AF$28)+(E99*$AF$29)+(E100*$AF$30))*30</f>
        <v>6035922.482611944</v>
      </c>
      <c r="F103" s="214">
        <f t="shared" si="126"/>
        <v>6035922.482611944</v>
      </c>
      <c r="G103" s="214">
        <f t="shared" si="126"/>
        <v>6035922.482611944</v>
      </c>
      <c r="H103" s="214">
        <f t="shared" si="126"/>
        <v>6035922.482611944</v>
      </c>
      <c r="I103" s="214">
        <f t="shared" si="126"/>
        <v>6035922.482611944</v>
      </c>
      <c r="J103" s="214">
        <f t="shared" si="126"/>
        <v>6035922.482611944</v>
      </c>
      <c r="K103" s="214">
        <f t="shared" si="126"/>
        <v>6035922.482611944</v>
      </c>
      <c r="L103" s="214">
        <f>SUM(B103:K103)</f>
        <v>60503125.328315198</v>
      </c>
      <c r="M103" s="164"/>
      <c r="N103" s="168"/>
      <c r="O103" s="147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51"/>
      <c r="AB103" s="168"/>
      <c r="AC103" s="168"/>
      <c r="AD103" s="168"/>
      <c r="AE103" s="151"/>
      <c r="AF103" s="168"/>
      <c r="AG103" s="168"/>
      <c r="AH103" s="168"/>
      <c r="AI103" s="168"/>
      <c r="AJ103" s="168"/>
      <c r="AK103" s="168"/>
      <c r="AL103" s="168"/>
      <c r="AM103" s="168"/>
      <c r="AN103" s="168"/>
      <c r="AO103" s="168"/>
      <c r="AP103" s="168"/>
      <c r="AQ103" s="168"/>
      <c r="AR103" s="168"/>
      <c r="AS103" s="168"/>
      <c r="AT103" s="168"/>
      <c r="AU103" s="168"/>
      <c r="AV103" s="168"/>
      <c r="AW103" s="168"/>
      <c r="AX103" s="168"/>
      <c r="AY103" s="168"/>
      <c r="AZ103" s="168"/>
      <c r="BA103" s="168"/>
      <c r="BB103" s="168"/>
      <c r="BC103" s="168"/>
      <c r="BD103" s="168"/>
      <c r="BE103" s="168"/>
      <c r="BF103" s="168"/>
      <c r="BG103" s="168"/>
      <c r="BH103" s="168"/>
      <c r="BI103" s="168"/>
      <c r="BJ103" s="168"/>
      <c r="BK103" s="168"/>
      <c r="BL103" s="168"/>
      <c r="BM103" s="168"/>
      <c r="BN103" s="168"/>
      <c r="BO103" s="168"/>
    </row>
    <row r="104" spans="1:67" s="157" customFormat="1" ht="15" thickBot="1" x14ac:dyDescent="0.4">
      <c r="A104" s="193" t="s">
        <v>113</v>
      </c>
      <c r="B104" s="214">
        <f t="shared" ref="B104" si="127">B103/1000</f>
        <v>6107.8727337098198</v>
      </c>
      <c r="C104" s="214">
        <f t="shared" ref="C104" si="128">C103/1000</f>
        <v>6107.8727337098198</v>
      </c>
      <c r="D104" s="214">
        <f t="shared" ref="D104" si="129">D103/1000</f>
        <v>6035.9224826119444</v>
      </c>
      <c r="E104" s="214">
        <f t="shared" ref="E104" si="130">E103/1000</f>
        <v>6035.9224826119444</v>
      </c>
      <c r="F104" s="214">
        <f t="shared" ref="F104" si="131">F103/1000</f>
        <v>6035.9224826119444</v>
      </c>
      <c r="G104" s="214">
        <f t="shared" ref="G104" si="132">G103/1000</f>
        <v>6035.9224826119444</v>
      </c>
      <c r="H104" s="214">
        <f t="shared" ref="H104" si="133">H103/1000</f>
        <v>6035.9224826119444</v>
      </c>
      <c r="I104" s="214">
        <f t="shared" ref="I104" si="134">I103/1000</f>
        <v>6035.9224826119444</v>
      </c>
      <c r="J104" s="214">
        <f t="shared" ref="J104" si="135">J103/1000</f>
        <v>6035.9224826119444</v>
      </c>
      <c r="K104" s="214">
        <f t="shared" ref="K104" si="136">K103/1000</f>
        <v>6035.9224826119444</v>
      </c>
      <c r="L104" s="214">
        <f t="shared" ref="L104" si="137">L103/1000</f>
        <v>60503.125328315196</v>
      </c>
      <c r="M104" s="164"/>
      <c r="N104" s="168"/>
      <c r="O104" s="147"/>
      <c r="P104" s="168"/>
      <c r="Q104" s="168"/>
      <c r="R104" s="168"/>
      <c r="S104" s="168"/>
      <c r="T104" s="168"/>
      <c r="U104" s="168"/>
      <c r="V104" s="168"/>
      <c r="W104" s="168"/>
      <c r="X104" s="168"/>
      <c r="Y104" s="168"/>
      <c r="Z104" s="168"/>
      <c r="AA104" s="151"/>
      <c r="AB104" s="168"/>
      <c r="AC104" s="168"/>
      <c r="AD104" s="168"/>
      <c r="AE104" s="151"/>
      <c r="AF104" s="168"/>
      <c r="AG104" s="168"/>
      <c r="AH104" s="168"/>
      <c r="AI104" s="168"/>
      <c r="AJ104" s="168"/>
      <c r="AK104" s="168"/>
      <c r="AL104" s="168"/>
      <c r="AM104" s="168"/>
      <c r="AN104" s="168"/>
      <c r="AO104" s="168"/>
      <c r="AP104" s="168"/>
      <c r="AQ104" s="168"/>
      <c r="AR104" s="168"/>
      <c r="AS104" s="168"/>
      <c r="AT104" s="168"/>
      <c r="AU104" s="168"/>
      <c r="AV104" s="168"/>
      <c r="AW104" s="168"/>
      <c r="AX104" s="168"/>
      <c r="AY104" s="168"/>
      <c r="AZ104" s="168"/>
      <c r="BA104" s="168"/>
      <c r="BB104" s="168"/>
      <c r="BC104" s="168"/>
      <c r="BD104" s="168"/>
      <c r="BE104" s="168"/>
      <c r="BF104" s="168"/>
      <c r="BG104" s="168"/>
      <c r="BH104" s="168"/>
      <c r="BI104" s="168"/>
      <c r="BJ104" s="168"/>
      <c r="BK104" s="168"/>
      <c r="BL104" s="168"/>
      <c r="BM104" s="168"/>
      <c r="BN104" s="168"/>
      <c r="BO104" s="168"/>
    </row>
    <row r="105" spans="1:67" s="152" customFormat="1" x14ac:dyDescent="0.35">
      <c r="A105" s="193" t="s">
        <v>64</v>
      </c>
      <c r="B105" s="215">
        <f t="shared" ref="B105" si="138">B104*$X$3</f>
        <v>1429242.2196880979</v>
      </c>
      <c r="C105" s="215">
        <f t="shared" ref="C105" si="139">C104*$X$3</f>
        <v>1429242.2196880979</v>
      </c>
      <c r="D105" s="215">
        <f t="shared" ref="D105" si="140">D104*$X$3</f>
        <v>1412405.8609311951</v>
      </c>
      <c r="E105" s="215">
        <f t="shared" ref="E105" si="141">E104*$X$3</f>
        <v>1412405.8609311951</v>
      </c>
      <c r="F105" s="215">
        <f t="shared" ref="F105" si="142">F104*$X$3</f>
        <v>1412405.8609311951</v>
      </c>
      <c r="G105" s="215">
        <f t="shared" ref="G105" si="143">G104*$X$3</f>
        <v>1412405.8609311951</v>
      </c>
      <c r="H105" s="215">
        <f t="shared" ref="H105" si="144">H104*$X$3</f>
        <v>1412405.8609311951</v>
      </c>
      <c r="I105" s="215">
        <f t="shared" ref="I105" si="145">I104*$X$3</f>
        <v>1412405.8609311951</v>
      </c>
      <c r="J105" s="215">
        <f t="shared" ref="J105" si="146">J104*$X$3</f>
        <v>1412405.8609311951</v>
      </c>
      <c r="K105" s="215">
        <f t="shared" ref="K105" si="147">K104*$X$3</f>
        <v>1412405.8609311951</v>
      </c>
      <c r="L105" s="215">
        <f t="shared" ref="L105" si="148">L104*$X$3</f>
        <v>14157731.326825757</v>
      </c>
      <c r="M105" s="159"/>
      <c r="N105" s="168"/>
      <c r="O105" s="147"/>
      <c r="P105" s="168"/>
      <c r="Q105" s="168"/>
      <c r="R105" s="168"/>
      <c r="S105" s="168"/>
      <c r="T105" s="168"/>
      <c r="U105" s="168"/>
      <c r="V105" s="168"/>
      <c r="W105" s="168"/>
      <c r="X105" s="168"/>
      <c r="Y105" s="168"/>
      <c r="Z105" s="168"/>
      <c r="AA105" s="151"/>
      <c r="AB105" s="168"/>
      <c r="AC105" s="168"/>
      <c r="AD105" s="168"/>
      <c r="AE105" s="151"/>
      <c r="AF105" s="168"/>
      <c r="AG105" s="168"/>
      <c r="AH105" s="168"/>
      <c r="AI105" s="168"/>
      <c r="AJ105" s="168"/>
      <c r="AK105" s="168"/>
      <c r="AL105" s="168"/>
      <c r="AM105" s="168"/>
      <c r="AN105" s="168"/>
      <c r="AO105" s="168"/>
      <c r="AP105" s="168"/>
      <c r="AQ105" s="168"/>
      <c r="AR105" s="168"/>
      <c r="AS105" s="168"/>
      <c r="AT105" s="168"/>
      <c r="AU105" s="168"/>
      <c r="AV105" s="168"/>
      <c r="AW105" s="168"/>
      <c r="AX105" s="168"/>
      <c r="AY105" s="168"/>
      <c r="AZ105" s="168"/>
      <c r="BA105" s="168"/>
      <c r="BB105" s="168"/>
      <c r="BC105" s="168"/>
      <c r="BD105" s="168"/>
      <c r="BE105" s="168"/>
      <c r="BF105" s="168"/>
      <c r="BG105" s="168"/>
      <c r="BH105" s="168"/>
      <c r="BI105" s="168"/>
      <c r="BJ105" s="168"/>
      <c r="BK105" s="168"/>
      <c r="BL105" s="168"/>
      <c r="BM105" s="168"/>
      <c r="BN105" s="168"/>
      <c r="BO105" s="168"/>
    </row>
    <row r="106" spans="1:67" s="152" customFormat="1" x14ac:dyDescent="0.35">
      <c r="A106" s="193"/>
      <c r="B106" s="194"/>
      <c r="C106" s="194"/>
      <c r="D106" s="214"/>
      <c r="E106" s="194"/>
      <c r="F106" s="194"/>
      <c r="G106" s="194"/>
      <c r="H106" s="194"/>
      <c r="I106" s="194"/>
      <c r="J106" s="194"/>
      <c r="K106" s="194"/>
      <c r="L106" s="194"/>
      <c r="M106" s="159"/>
      <c r="N106" s="168"/>
      <c r="O106" s="147"/>
      <c r="P106" s="168"/>
      <c r="Q106" s="168"/>
      <c r="R106" s="168"/>
      <c r="S106" s="168"/>
      <c r="T106" s="168"/>
      <c r="U106" s="168"/>
      <c r="V106" s="168"/>
      <c r="W106" s="168"/>
      <c r="X106" s="168"/>
      <c r="Y106" s="168"/>
      <c r="Z106" s="168"/>
      <c r="AA106" s="151"/>
      <c r="AB106" s="168"/>
      <c r="AC106" s="168"/>
      <c r="AD106" s="168"/>
      <c r="AE106" s="151"/>
      <c r="AF106" s="168"/>
      <c r="AG106" s="168"/>
      <c r="AH106" s="168"/>
      <c r="AI106" s="168"/>
      <c r="AJ106" s="168"/>
      <c r="AK106" s="168"/>
      <c r="AL106" s="168"/>
      <c r="AM106" s="168"/>
      <c r="AN106" s="168"/>
      <c r="AO106" s="168"/>
      <c r="AP106" s="168"/>
      <c r="AQ106" s="168"/>
      <c r="AR106" s="168"/>
      <c r="AS106" s="168"/>
      <c r="AT106" s="168"/>
      <c r="AU106" s="168"/>
      <c r="AV106" s="168"/>
      <c r="AW106" s="168"/>
      <c r="AX106" s="168"/>
      <c r="AY106" s="168"/>
      <c r="AZ106" s="168"/>
      <c r="BA106" s="168"/>
      <c r="BB106" s="168"/>
      <c r="BC106" s="168"/>
      <c r="BD106" s="168"/>
      <c r="BE106" s="168"/>
      <c r="BF106" s="168"/>
      <c r="BG106" s="168"/>
      <c r="BH106" s="168"/>
      <c r="BI106" s="168"/>
      <c r="BJ106" s="168"/>
      <c r="BK106" s="168"/>
      <c r="BL106" s="168"/>
      <c r="BM106" s="168"/>
      <c r="BN106" s="168"/>
      <c r="BO106" s="168"/>
    </row>
    <row r="107" spans="1:67" s="152" customFormat="1" ht="15" thickBot="1" x14ac:dyDescent="0.4">
      <c r="A107" s="197"/>
      <c r="B107" s="198"/>
      <c r="C107" s="198"/>
      <c r="D107" s="216"/>
      <c r="E107" s="198"/>
      <c r="F107" s="198"/>
      <c r="G107" s="198"/>
      <c r="H107" s="198"/>
      <c r="I107" s="198"/>
      <c r="J107" s="198"/>
      <c r="K107" s="198"/>
      <c r="L107" s="198"/>
      <c r="M107" s="159"/>
      <c r="N107" s="168"/>
      <c r="O107" s="147"/>
      <c r="P107" s="168"/>
      <c r="Q107" s="168"/>
      <c r="R107" s="168"/>
      <c r="S107" s="168"/>
      <c r="T107" s="168"/>
      <c r="U107" s="168"/>
      <c r="V107" s="168"/>
      <c r="W107" s="168"/>
      <c r="X107" s="168"/>
      <c r="Y107" s="168"/>
      <c r="Z107" s="168"/>
      <c r="AA107" s="151"/>
      <c r="AB107" s="168"/>
      <c r="AC107" s="168"/>
      <c r="AD107" s="168"/>
      <c r="AE107" s="151"/>
      <c r="AF107" s="168"/>
      <c r="AG107" s="168"/>
      <c r="AH107" s="168"/>
      <c r="AI107" s="168"/>
      <c r="AJ107" s="168"/>
      <c r="AK107" s="168"/>
      <c r="AL107" s="168"/>
      <c r="AM107" s="168"/>
      <c r="AN107" s="168"/>
      <c r="AO107" s="168"/>
      <c r="AP107" s="168"/>
      <c r="AQ107" s="168"/>
      <c r="AR107" s="168"/>
      <c r="AS107" s="168"/>
      <c r="AT107" s="168"/>
      <c r="AU107" s="168"/>
      <c r="AV107" s="168"/>
      <c r="AW107" s="168"/>
      <c r="AX107" s="168"/>
      <c r="AY107" s="168"/>
      <c r="AZ107" s="168"/>
      <c r="BA107" s="168"/>
      <c r="BB107" s="168"/>
      <c r="BC107" s="168"/>
      <c r="BD107" s="168"/>
      <c r="BE107" s="168"/>
      <c r="BF107" s="168"/>
      <c r="BG107" s="168"/>
      <c r="BH107" s="168"/>
      <c r="BI107" s="168"/>
      <c r="BJ107" s="168"/>
      <c r="BK107" s="168"/>
      <c r="BL107" s="168"/>
      <c r="BM107" s="168"/>
      <c r="BN107" s="168"/>
      <c r="BO107" s="168"/>
    </row>
    <row r="108" spans="1:67" s="152" customFormat="1" x14ac:dyDescent="0.35">
      <c r="A108" s="179"/>
      <c r="B108" s="179"/>
      <c r="C108" s="179"/>
      <c r="D108" s="212"/>
      <c r="E108" s="179"/>
      <c r="F108" s="179"/>
      <c r="G108" s="179"/>
      <c r="H108" s="179"/>
      <c r="I108" s="179"/>
      <c r="J108" s="179"/>
      <c r="K108" s="179"/>
      <c r="L108" s="179"/>
      <c r="M108" s="160"/>
      <c r="N108" s="168"/>
      <c r="O108" s="147"/>
      <c r="P108" s="168"/>
      <c r="Q108" s="168"/>
      <c r="R108" s="168"/>
      <c r="S108" s="168"/>
      <c r="T108" s="168"/>
      <c r="U108" s="168"/>
      <c r="V108" s="168"/>
      <c r="W108" s="168"/>
      <c r="X108" s="168"/>
      <c r="Y108" s="168"/>
      <c r="Z108" s="168"/>
      <c r="AA108" s="151"/>
      <c r="AB108" s="168"/>
      <c r="AC108" s="168"/>
      <c r="AD108" s="168"/>
      <c r="AE108" s="151"/>
      <c r="AF108" s="168"/>
      <c r="AG108" s="168"/>
      <c r="AH108" s="168"/>
      <c r="AI108" s="168"/>
      <c r="AJ108" s="168"/>
      <c r="AK108" s="168"/>
      <c r="AL108" s="168"/>
      <c r="AM108" s="168"/>
      <c r="AN108" s="168"/>
      <c r="AO108" s="168"/>
      <c r="AP108" s="168"/>
      <c r="AQ108" s="168"/>
      <c r="AR108" s="168"/>
      <c r="AS108" s="168"/>
      <c r="AT108" s="168"/>
      <c r="AU108" s="168"/>
      <c r="AV108" s="168"/>
      <c r="AW108" s="168"/>
      <c r="AX108" s="168"/>
      <c r="AY108" s="168"/>
      <c r="AZ108" s="168"/>
      <c r="BA108" s="168"/>
      <c r="BB108" s="168"/>
      <c r="BC108" s="168"/>
      <c r="BD108" s="168"/>
      <c r="BE108" s="168"/>
      <c r="BF108" s="168"/>
      <c r="BG108" s="168"/>
      <c r="BH108" s="168"/>
      <c r="BI108" s="168"/>
      <c r="BJ108" s="168"/>
      <c r="BK108" s="168"/>
      <c r="BL108" s="168"/>
      <c r="BM108" s="168"/>
      <c r="BN108" s="168"/>
      <c r="BO108" s="168"/>
    </row>
    <row r="109" spans="1:67" s="152" customFormat="1" x14ac:dyDescent="0.35">
      <c r="A109" s="179"/>
      <c r="B109" s="179"/>
      <c r="C109" s="179"/>
      <c r="D109" s="212"/>
      <c r="E109" s="179"/>
      <c r="F109" s="179"/>
      <c r="G109" s="179"/>
      <c r="H109" s="179"/>
      <c r="I109" s="179"/>
      <c r="J109" s="179"/>
      <c r="K109" s="179"/>
      <c r="L109" s="179"/>
      <c r="M109" s="159"/>
      <c r="N109" s="168"/>
      <c r="O109" s="147"/>
      <c r="P109" s="168"/>
      <c r="Q109" s="168"/>
      <c r="R109" s="168"/>
      <c r="S109" s="168"/>
      <c r="T109" s="168"/>
      <c r="U109" s="168"/>
      <c r="V109" s="168"/>
      <c r="W109" s="168"/>
      <c r="X109" s="168"/>
      <c r="Y109" s="168"/>
      <c r="Z109" s="168"/>
      <c r="AA109" s="151"/>
      <c r="AB109" s="168"/>
      <c r="AC109" s="168"/>
      <c r="AD109" s="168"/>
      <c r="AE109" s="151"/>
      <c r="AF109" s="168"/>
      <c r="AG109" s="168"/>
      <c r="AH109" s="168"/>
      <c r="AI109" s="168"/>
      <c r="AJ109" s="168"/>
      <c r="AK109" s="168"/>
      <c r="AL109" s="168"/>
      <c r="AM109" s="168"/>
      <c r="AN109" s="168"/>
      <c r="AO109" s="168"/>
      <c r="AP109" s="168"/>
      <c r="AQ109" s="168"/>
      <c r="AR109" s="168"/>
      <c r="AS109" s="168"/>
      <c r="AT109" s="168"/>
      <c r="AU109" s="168"/>
      <c r="AV109" s="168"/>
      <c r="AW109" s="168"/>
      <c r="AX109" s="168"/>
      <c r="AY109" s="168"/>
      <c r="AZ109" s="168"/>
      <c r="BA109" s="168"/>
      <c r="BB109" s="168"/>
      <c r="BC109" s="168"/>
      <c r="BD109" s="168"/>
      <c r="BE109" s="168"/>
      <c r="BF109" s="168"/>
      <c r="BG109" s="168"/>
      <c r="BH109" s="168"/>
      <c r="BI109" s="168"/>
      <c r="BJ109" s="168"/>
      <c r="BK109" s="168"/>
      <c r="BL109" s="168"/>
      <c r="BM109" s="168"/>
      <c r="BN109" s="168"/>
      <c r="BO109" s="168"/>
    </row>
    <row r="110" spans="1:67" s="152" customFormat="1" x14ac:dyDescent="0.35">
      <c r="A110" s="180" t="s">
        <v>0</v>
      </c>
      <c r="B110" s="182" t="s">
        <v>10</v>
      </c>
      <c r="C110" s="182" t="s">
        <v>11</v>
      </c>
      <c r="D110" s="209" t="s">
        <v>12</v>
      </c>
      <c r="E110" s="182" t="s">
        <v>13</v>
      </c>
      <c r="F110" s="182" t="s">
        <v>14</v>
      </c>
      <c r="G110" s="182" t="s">
        <v>15</v>
      </c>
      <c r="H110" s="182" t="s">
        <v>16</v>
      </c>
      <c r="I110" s="183" t="s">
        <v>17</v>
      </c>
      <c r="J110" s="184" t="s">
        <v>23</v>
      </c>
      <c r="K110" s="184" t="s">
        <v>24</v>
      </c>
      <c r="L110" s="185" t="s">
        <v>18</v>
      </c>
      <c r="M110" s="159"/>
      <c r="N110" s="168"/>
      <c r="O110" s="147"/>
      <c r="P110" s="168"/>
      <c r="Q110" s="168"/>
      <c r="R110" s="168"/>
      <c r="S110" s="168"/>
      <c r="T110" s="168"/>
      <c r="U110" s="168"/>
      <c r="V110" s="168"/>
      <c r="W110" s="168"/>
      <c r="X110" s="168"/>
      <c r="Y110" s="168"/>
      <c r="Z110" s="168"/>
      <c r="AA110" s="151"/>
      <c r="AB110" s="168"/>
      <c r="AC110" s="168"/>
      <c r="AD110" s="168"/>
      <c r="AE110" s="151"/>
      <c r="AF110" s="168"/>
      <c r="AG110" s="168"/>
      <c r="AH110" s="168"/>
      <c r="AI110" s="168"/>
      <c r="AJ110" s="168"/>
      <c r="AK110" s="168"/>
      <c r="AL110" s="168"/>
      <c r="AM110" s="168"/>
      <c r="AN110" s="168"/>
      <c r="AO110" s="168"/>
      <c r="AP110" s="168"/>
      <c r="AQ110" s="168"/>
      <c r="AR110" s="168"/>
      <c r="AS110" s="168"/>
      <c r="AT110" s="168"/>
      <c r="AU110" s="168"/>
      <c r="AV110" s="168"/>
      <c r="AW110" s="168"/>
      <c r="AX110" s="168"/>
      <c r="AY110" s="168"/>
      <c r="AZ110" s="168"/>
      <c r="BA110" s="168"/>
      <c r="BB110" s="168"/>
      <c r="BC110" s="168"/>
      <c r="BD110" s="168"/>
      <c r="BE110" s="168"/>
      <c r="BF110" s="168"/>
      <c r="BG110" s="168"/>
      <c r="BH110" s="168"/>
      <c r="BI110" s="168"/>
      <c r="BJ110" s="168"/>
      <c r="BK110" s="168"/>
      <c r="BL110" s="168"/>
      <c r="BM110" s="168"/>
      <c r="BN110" s="168"/>
      <c r="BO110" s="168"/>
    </row>
    <row r="111" spans="1:67" s="152" customFormat="1" x14ac:dyDescent="0.35">
      <c r="A111" s="154" t="s">
        <v>33</v>
      </c>
      <c r="B111" s="199">
        <v>466</v>
      </c>
      <c r="C111" s="199">
        <v>466</v>
      </c>
      <c r="D111" s="217">
        <v>466</v>
      </c>
      <c r="E111" s="199">
        <v>466</v>
      </c>
      <c r="F111" s="199">
        <v>466</v>
      </c>
      <c r="G111" s="199">
        <v>466</v>
      </c>
      <c r="H111" s="199">
        <v>466</v>
      </c>
      <c r="I111" s="199">
        <v>466</v>
      </c>
      <c r="J111" s="199">
        <v>466</v>
      </c>
      <c r="K111" s="199">
        <v>466</v>
      </c>
      <c r="L111" s="200">
        <f>SUM(B111:K111)</f>
        <v>4660</v>
      </c>
      <c r="M111" s="159"/>
      <c r="N111" s="168"/>
      <c r="O111" s="147"/>
      <c r="P111" s="168"/>
      <c r="Q111" s="168"/>
      <c r="R111" s="168"/>
      <c r="S111" s="168"/>
      <c r="T111" s="168"/>
      <c r="U111" s="168"/>
      <c r="V111" s="168"/>
      <c r="W111" s="168"/>
      <c r="X111" s="168"/>
      <c r="Y111" s="168"/>
      <c r="Z111" s="168"/>
      <c r="AA111" s="151"/>
      <c r="AB111" s="168"/>
      <c r="AC111" s="168"/>
      <c r="AD111" s="168"/>
      <c r="AE111" s="151"/>
      <c r="AF111" s="168"/>
      <c r="AG111" s="168"/>
      <c r="AH111" s="168"/>
      <c r="AI111" s="168"/>
      <c r="AJ111" s="168"/>
      <c r="AK111" s="168"/>
      <c r="AL111" s="168"/>
      <c r="AM111" s="168"/>
      <c r="AN111" s="168"/>
      <c r="AO111" s="168"/>
      <c r="AP111" s="168"/>
      <c r="AQ111" s="168"/>
      <c r="AR111" s="168"/>
      <c r="AS111" s="168"/>
      <c r="AT111" s="168"/>
      <c r="AU111" s="168"/>
      <c r="AV111" s="168"/>
      <c r="AW111" s="168"/>
      <c r="AX111" s="168"/>
      <c r="AY111" s="168"/>
      <c r="AZ111" s="168"/>
      <c r="BA111" s="168"/>
      <c r="BB111" s="168"/>
      <c r="BC111" s="168"/>
      <c r="BD111" s="168"/>
      <c r="BE111" s="168"/>
      <c r="BF111" s="168"/>
      <c r="BG111" s="168"/>
      <c r="BH111" s="168"/>
      <c r="BI111" s="168"/>
      <c r="BJ111" s="168"/>
      <c r="BK111" s="168"/>
      <c r="BL111" s="168"/>
      <c r="BM111" s="168"/>
      <c r="BN111" s="168"/>
      <c r="BO111" s="168"/>
    </row>
    <row r="112" spans="1:67" s="158" customFormat="1" x14ac:dyDescent="0.35">
      <c r="A112" s="187" t="s">
        <v>20</v>
      </c>
      <c r="B112" s="201">
        <f>'housing proportion projections'!L41</f>
        <v>72.276236548524039</v>
      </c>
      <c r="C112" s="201">
        <f>'housing proportion projections'!M41</f>
        <v>72.276236548524039</v>
      </c>
      <c r="D112" s="201">
        <f>'housing proportion projections'!N41</f>
        <v>72.276236548524039</v>
      </c>
      <c r="E112" s="201">
        <f>'housing proportion projections'!O41</f>
        <v>72.276236548524039</v>
      </c>
      <c r="F112" s="201">
        <f>'housing proportion projections'!P41</f>
        <v>72.276236548524039</v>
      </c>
      <c r="G112" s="201">
        <f>'housing proportion projections'!Q41</f>
        <v>72.276236548524039</v>
      </c>
      <c r="H112" s="201">
        <f>'housing proportion projections'!R41</f>
        <v>72.276236548524039</v>
      </c>
      <c r="I112" s="201">
        <f>'housing proportion projections'!S41</f>
        <v>72.276236548524039</v>
      </c>
      <c r="J112" s="201">
        <f>'housing proportion projections'!T41</f>
        <v>72.276236548524039</v>
      </c>
      <c r="K112" s="201">
        <f>'housing proportion projections'!U41</f>
        <v>72.276236548524039</v>
      </c>
      <c r="L112" s="200">
        <f t="shared" ref="L112:L115" si="149">SUM(B112:K112)</f>
        <v>722.76236548524037</v>
      </c>
      <c r="M112" s="167"/>
      <c r="N112" s="168"/>
      <c r="O112" s="147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51"/>
      <c r="AB112" s="168"/>
      <c r="AC112" s="168"/>
      <c r="AD112" s="168"/>
      <c r="AE112" s="151"/>
      <c r="AF112" s="168"/>
      <c r="AG112" s="168"/>
      <c r="AH112" s="168"/>
      <c r="AI112" s="168"/>
      <c r="AJ112" s="168"/>
      <c r="AK112" s="168"/>
      <c r="AL112" s="168"/>
      <c r="AM112" s="168"/>
      <c r="AN112" s="168"/>
      <c r="AO112" s="168"/>
      <c r="AP112" s="168"/>
      <c r="AQ112" s="168"/>
      <c r="AR112" s="168"/>
      <c r="AS112" s="168"/>
      <c r="AT112" s="168"/>
      <c r="AU112" s="168"/>
      <c r="AV112" s="168"/>
      <c r="AW112" s="168"/>
      <c r="AX112" s="168"/>
      <c r="AY112" s="168"/>
      <c r="AZ112" s="168"/>
      <c r="BA112" s="168"/>
      <c r="BB112" s="168"/>
      <c r="BC112" s="168"/>
      <c r="BD112" s="168"/>
      <c r="BE112" s="168"/>
      <c r="BF112" s="168"/>
      <c r="BG112" s="168"/>
      <c r="BH112" s="168"/>
      <c r="BI112" s="168"/>
      <c r="BJ112" s="168"/>
      <c r="BK112" s="168"/>
      <c r="BL112" s="168"/>
      <c r="BM112" s="168"/>
      <c r="BN112" s="168"/>
      <c r="BO112" s="168"/>
    </row>
    <row r="113" spans="1:67" s="152" customFormat="1" ht="15" thickBot="1" x14ac:dyDescent="0.4">
      <c r="A113" s="187" t="s">
        <v>21</v>
      </c>
      <c r="B113" s="201">
        <f>'housing proportion projections'!L42</f>
        <v>139.53776285911738</v>
      </c>
      <c r="C113" s="201">
        <f>'housing proportion projections'!M42</f>
        <v>139.53776285911738</v>
      </c>
      <c r="D113" s="201">
        <f>'housing proportion projections'!N42</f>
        <v>139.53776285911738</v>
      </c>
      <c r="E113" s="201">
        <f>'housing proportion projections'!O42</f>
        <v>139.53776285911738</v>
      </c>
      <c r="F113" s="201">
        <f>'housing proportion projections'!P42</f>
        <v>139.53776285911738</v>
      </c>
      <c r="G113" s="201">
        <f>'housing proportion projections'!Q42</f>
        <v>139.53776285911738</v>
      </c>
      <c r="H113" s="201">
        <f>'housing proportion projections'!R42</f>
        <v>139.53776285911738</v>
      </c>
      <c r="I113" s="201">
        <f>'housing proportion projections'!S42</f>
        <v>139.53776285911738</v>
      </c>
      <c r="J113" s="201">
        <f>'housing proportion projections'!T42</f>
        <v>139.53776285911738</v>
      </c>
      <c r="K113" s="201">
        <f>'housing proportion projections'!U42</f>
        <v>139.53776285911738</v>
      </c>
      <c r="L113" s="200">
        <f t="shared" si="149"/>
        <v>1395.3776285911736</v>
      </c>
      <c r="M113" s="159"/>
      <c r="N113" s="168"/>
      <c r="O113" s="147"/>
      <c r="P113" s="168"/>
      <c r="Q113" s="168"/>
      <c r="R113" s="168"/>
      <c r="S113" s="168"/>
      <c r="T113" s="168"/>
      <c r="U113" s="168"/>
      <c r="V113" s="168"/>
      <c r="W113" s="168"/>
      <c r="X113" s="168"/>
      <c r="Y113" s="168"/>
      <c r="Z113" s="168"/>
      <c r="AA113" s="151"/>
      <c r="AB113" s="168"/>
      <c r="AC113" s="168"/>
      <c r="AD113" s="168"/>
      <c r="AE113" s="151"/>
      <c r="AF113" s="168"/>
      <c r="AG113" s="168"/>
      <c r="AH113" s="168"/>
      <c r="AI113" s="168"/>
      <c r="AJ113" s="168"/>
      <c r="AK113" s="168"/>
      <c r="AL113" s="168"/>
      <c r="AM113" s="168"/>
      <c r="AN113" s="168"/>
      <c r="AO113" s="168"/>
      <c r="AP113" s="168"/>
      <c r="AQ113" s="168"/>
      <c r="AR113" s="168"/>
      <c r="AS113" s="168"/>
      <c r="AT113" s="168"/>
      <c r="AU113" s="168"/>
      <c r="AV113" s="168"/>
      <c r="AW113" s="168"/>
      <c r="AX113" s="168"/>
      <c r="AY113" s="168"/>
      <c r="AZ113" s="168"/>
      <c r="BA113" s="168"/>
      <c r="BB113" s="168"/>
      <c r="BC113" s="168"/>
      <c r="BD113" s="168"/>
      <c r="BE113" s="168"/>
      <c r="BF113" s="168"/>
      <c r="BG113" s="168"/>
      <c r="BH113" s="168"/>
      <c r="BI113" s="168"/>
      <c r="BJ113" s="168"/>
      <c r="BK113" s="168"/>
      <c r="BL113" s="168"/>
      <c r="BM113" s="168"/>
      <c r="BN113" s="168"/>
      <c r="BO113" s="168"/>
    </row>
    <row r="114" spans="1:67" s="156" customFormat="1" x14ac:dyDescent="0.35">
      <c r="A114" s="187" t="s">
        <v>26</v>
      </c>
      <c r="B114" s="201">
        <f>'housing proportion projections'!L43</f>
        <v>182.23180965544475</v>
      </c>
      <c r="C114" s="201">
        <f>'housing proportion projections'!M43</f>
        <v>182.23180965544475</v>
      </c>
      <c r="D114" s="201">
        <f>'housing proportion projections'!N43</f>
        <v>182.23180965544475</v>
      </c>
      <c r="E114" s="201">
        <f>'housing proportion projections'!O43</f>
        <v>182.23180965544475</v>
      </c>
      <c r="F114" s="201">
        <f>'housing proportion projections'!P43</f>
        <v>182.23180965544475</v>
      </c>
      <c r="G114" s="201">
        <f>'housing proportion projections'!Q43</f>
        <v>182.23180965544475</v>
      </c>
      <c r="H114" s="201">
        <f>'housing proportion projections'!R43</f>
        <v>182.23180965544475</v>
      </c>
      <c r="I114" s="201">
        <f>'housing proportion projections'!S43</f>
        <v>182.23180965544475</v>
      </c>
      <c r="J114" s="201">
        <f>'housing proportion projections'!T43</f>
        <v>182.23180965544475</v>
      </c>
      <c r="K114" s="201">
        <f>'housing proportion projections'!U43</f>
        <v>182.23180965544475</v>
      </c>
      <c r="L114" s="200">
        <f t="shared" si="149"/>
        <v>1822.3180965544475</v>
      </c>
      <c r="M114" s="161"/>
      <c r="N114" s="168"/>
      <c r="O114" s="147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  <c r="AA114" s="151"/>
      <c r="AB114" s="168"/>
      <c r="AC114" s="168"/>
      <c r="AD114" s="168"/>
      <c r="AE114" s="151"/>
      <c r="AF114" s="168"/>
      <c r="AG114" s="168"/>
      <c r="AH114" s="168"/>
      <c r="AI114" s="168"/>
      <c r="AJ114" s="168"/>
      <c r="AK114" s="168"/>
      <c r="AL114" s="168"/>
      <c r="AM114" s="168"/>
      <c r="AN114" s="168"/>
      <c r="AO114" s="168"/>
      <c r="AP114" s="168"/>
      <c r="AQ114" s="168"/>
      <c r="AR114" s="168"/>
      <c r="AS114" s="168"/>
      <c r="AT114" s="168"/>
      <c r="AU114" s="168"/>
      <c r="AV114" s="168"/>
      <c r="AW114" s="168"/>
      <c r="AX114" s="168"/>
      <c r="AY114" s="168"/>
      <c r="AZ114" s="168"/>
      <c r="BA114" s="168"/>
      <c r="BB114" s="168"/>
      <c r="BC114" s="168"/>
      <c r="BD114" s="168"/>
      <c r="BE114" s="168"/>
      <c r="BF114" s="168"/>
      <c r="BG114" s="168"/>
      <c r="BH114" s="168"/>
      <c r="BI114" s="168"/>
      <c r="BJ114" s="168"/>
      <c r="BK114" s="168"/>
      <c r="BL114" s="168"/>
      <c r="BM114" s="168"/>
      <c r="BN114" s="168"/>
      <c r="BO114" s="168"/>
    </row>
    <row r="115" spans="1:67" s="155" customFormat="1" x14ac:dyDescent="0.35">
      <c r="A115" s="190" t="s">
        <v>22</v>
      </c>
      <c r="B115" s="201">
        <f>'housing proportion projections'!L44</f>
        <v>71.954190936913818</v>
      </c>
      <c r="C115" s="201">
        <f>'housing proportion projections'!M44</f>
        <v>71.954190936913818</v>
      </c>
      <c r="D115" s="201">
        <f>'housing proportion projections'!N44</f>
        <v>71.954190936913818</v>
      </c>
      <c r="E115" s="201">
        <f>'housing proportion projections'!O44</f>
        <v>71.954190936913818</v>
      </c>
      <c r="F115" s="201">
        <f>'housing proportion projections'!P44</f>
        <v>71.954190936913818</v>
      </c>
      <c r="G115" s="201">
        <f>'housing proportion projections'!Q44</f>
        <v>71.954190936913818</v>
      </c>
      <c r="H115" s="201">
        <f>'housing proportion projections'!R44</f>
        <v>71.954190936913818</v>
      </c>
      <c r="I115" s="201">
        <f>'housing proportion projections'!S44</f>
        <v>71.954190936913818</v>
      </c>
      <c r="J115" s="201">
        <f>'housing proportion projections'!T44</f>
        <v>71.954190936913818</v>
      </c>
      <c r="K115" s="201">
        <f>'housing proportion projections'!U44</f>
        <v>71.954190936913818</v>
      </c>
      <c r="L115" s="200">
        <f t="shared" si="149"/>
        <v>719.54190936913835</v>
      </c>
      <c r="M115" s="162"/>
      <c r="N115" s="168"/>
      <c r="O115" s="147"/>
      <c r="P115" s="168"/>
      <c r="Q115" s="168"/>
      <c r="R115" s="168"/>
      <c r="S115" s="168"/>
      <c r="T115" s="168"/>
      <c r="U115" s="168"/>
      <c r="V115" s="168"/>
      <c r="W115" s="168"/>
      <c r="X115" s="168"/>
      <c r="Y115" s="168"/>
      <c r="Z115" s="168"/>
      <c r="AA115" s="151"/>
      <c r="AB115" s="168"/>
      <c r="AC115" s="168"/>
      <c r="AD115" s="168"/>
      <c r="AE115" s="151"/>
      <c r="AF115" s="168"/>
      <c r="AG115" s="168"/>
      <c r="AH115" s="168"/>
      <c r="AI115" s="168"/>
      <c r="AJ115" s="168"/>
      <c r="AK115" s="168"/>
      <c r="AL115" s="168"/>
      <c r="AM115" s="168"/>
      <c r="AN115" s="168"/>
      <c r="AO115" s="168"/>
      <c r="AP115" s="168"/>
      <c r="AQ115" s="168"/>
      <c r="AR115" s="168"/>
      <c r="AS115" s="168"/>
      <c r="AT115" s="168"/>
      <c r="AU115" s="168"/>
      <c r="AV115" s="168"/>
      <c r="AW115" s="168"/>
      <c r="AX115" s="168"/>
      <c r="AY115" s="168"/>
      <c r="AZ115" s="168"/>
      <c r="BA115" s="168"/>
      <c r="BB115" s="168"/>
      <c r="BC115" s="168"/>
      <c r="BD115" s="168"/>
      <c r="BE115" s="168"/>
      <c r="BF115" s="168"/>
      <c r="BG115" s="168"/>
      <c r="BH115" s="168"/>
      <c r="BI115" s="168"/>
      <c r="BJ115" s="168"/>
      <c r="BK115" s="168"/>
      <c r="BL115" s="168"/>
      <c r="BM115" s="168"/>
      <c r="BN115" s="168"/>
      <c r="BO115" s="168"/>
    </row>
    <row r="116" spans="1:67" s="155" customFormat="1" ht="15" thickBot="1" x14ac:dyDescent="0.4">
      <c r="A116" s="179"/>
      <c r="B116" s="179"/>
      <c r="C116" s="179"/>
      <c r="D116" s="212"/>
      <c r="E116" s="179"/>
      <c r="F116" s="179"/>
      <c r="G116" s="179"/>
      <c r="H116" s="179"/>
      <c r="I116" s="179"/>
      <c r="J116" s="179"/>
      <c r="K116" s="179"/>
      <c r="L116" s="179"/>
      <c r="M116" s="163"/>
      <c r="N116" s="168"/>
      <c r="O116" s="147"/>
      <c r="P116" s="168"/>
      <c r="Q116" s="168"/>
      <c r="R116" s="168"/>
      <c r="S116" s="168"/>
      <c r="T116" s="168"/>
      <c r="U116" s="168"/>
      <c r="V116" s="168"/>
      <c r="W116" s="168"/>
      <c r="X116" s="168"/>
      <c r="Y116" s="168"/>
      <c r="Z116" s="168"/>
      <c r="AA116" s="151"/>
      <c r="AB116" s="168"/>
      <c r="AC116" s="168"/>
      <c r="AD116" s="168"/>
      <c r="AE116" s="151"/>
      <c r="AF116" s="168"/>
      <c r="AG116" s="168"/>
      <c r="AH116" s="168"/>
      <c r="AI116" s="168"/>
      <c r="AJ116" s="168"/>
      <c r="AK116" s="168"/>
      <c r="AL116" s="168"/>
      <c r="AM116" s="168"/>
      <c r="AN116" s="168"/>
      <c r="AO116" s="168"/>
      <c r="AP116" s="168"/>
      <c r="AQ116" s="168"/>
      <c r="AR116" s="168"/>
      <c r="AS116" s="168"/>
      <c r="AT116" s="168"/>
      <c r="AU116" s="168"/>
      <c r="AV116" s="168"/>
      <c r="AW116" s="168"/>
      <c r="AX116" s="168"/>
      <c r="AY116" s="168"/>
      <c r="AZ116" s="168"/>
      <c r="BA116" s="168"/>
      <c r="BB116" s="168"/>
      <c r="BC116" s="168"/>
      <c r="BD116" s="168"/>
      <c r="BE116" s="168"/>
      <c r="BF116" s="168"/>
      <c r="BG116" s="168"/>
      <c r="BH116" s="168"/>
      <c r="BI116" s="168"/>
      <c r="BJ116" s="168"/>
      <c r="BK116" s="168"/>
      <c r="BL116" s="168"/>
      <c r="BM116" s="168"/>
      <c r="BN116" s="168"/>
      <c r="BO116" s="168"/>
    </row>
    <row r="117" spans="1:67" s="155" customFormat="1" x14ac:dyDescent="0.35">
      <c r="A117" s="191" t="s">
        <v>134</v>
      </c>
      <c r="B117" s="192"/>
      <c r="C117" s="192"/>
      <c r="D117" s="213"/>
      <c r="E117" s="192"/>
      <c r="F117" s="192"/>
      <c r="G117" s="192"/>
      <c r="H117" s="192"/>
      <c r="I117" s="192"/>
      <c r="J117" s="192"/>
      <c r="K117" s="192"/>
      <c r="L117" s="192"/>
      <c r="M117" s="162"/>
      <c r="N117" s="168"/>
      <c r="O117" s="147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  <c r="AA117" s="151"/>
      <c r="AB117" s="168"/>
      <c r="AC117" s="168"/>
      <c r="AD117" s="168"/>
      <c r="AE117" s="151"/>
      <c r="AF117" s="168"/>
      <c r="AG117" s="168"/>
      <c r="AH117" s="168"/>
      <c r="AI117" s="168"/>
      <c r="AJ117" s="168"/>
      <c r="AK117" s="168"/>
      <c r="AL117" s="168"/>
      <c r="AM117" s="168"/>
      <c r="AN117" s="168"/>
      <c r="AO117" s="168"/>
      <c r="AP117" s="168"/>
      <c r="AQ117" s="168"/>
      <c r="AR117" s="168"/>
      <c r="AS117" s="168"/>
      <c r="AT117" s="168"/>
      <c r="AU117" s="168"/>
      <c r="AV117" s="168"/>
      <c r="AW117" s="168"/>
      <c r="AX117" s="168"/>
      <c r="AY117" s="168"/>
      <c r="AZ117" s="168"/>
      <c r="BA117" s="168"/>
      <c r="BB117" s="168"/>
      <c r="BC117" s="168"/>
      <c r="BD117" s="168"/>
      <c r="BE117" s="168"/>
      <c r="BF117" s="168"/>
      <c r="BG117" s="168"/>
      <c r="BH117" s="168"/>
      <c r="BI117" s="168"/>
      <c r="BJ117" s="168"/>
      <c r="BK117" s="168"/>
      <c r="BL117" s="168"/>
      <c r="BM117" s="168"/>
      <c r="BN117" s="168"/>
      <c r="BO117" s="168"/>
    </row>
    <row r="118" spans="1:67" s="157" customFormat="1" ht="15" thickBot="1" x14ac:dyDescent="0.4">
      <c r="A118" s="193" t="s">
        <v>112</v>
      </c>
      <c r="B118" s="214">
        <f>((B112*$AB$27)+(B113*$AB$28)+(B114*$AB$29)+(B115*$AB$30))*30</f>
        <v>3695611.1041960628</v>
      </c>
      <c r="C118" s="214">
        <f>((C112*$AB$27)+(C113*$AB$28)+(C114*$AB$29)+(C115*$AB$30))*30</f>
        <v>3695611.1041960628</v>
      </c>
      <c r="D118" s="214">
        <f>((D112*$AF$27)+(D113*$AF$28)+(D114*$AF$29)+(D115*$AF$30))*30</f>
        <v>3651867.2002117471</v>
      </c>
      <c r="E118" s="214">
        <f t="shared" ref="E118:K118" si="150">((E112*$AF$27)+(E113*$AF$28)+(E114*$AF$29)+(E115*$AF$30))*30</f>
        <v>3651867.2002117471</v>
      </c>
      <c r="F118" s="214">
        <f t="shared" si="150"/>
        <v>3651867.2002117471</v>
      </c>
      <c r="G118" s="214">
        <f t="shared" si="150"/>
        <v>3651867.2002117471</v>
      </c>
      <c r="H118" s="214">
        <f t="shared" si="150"/>
        <v>3651867.2002117471</v>
      </c>
      <c r="I118" s="214">
        <f t="shared" si="150"/>
        <v>3651867.2002117471</v>
      </c>
      <c r="J118" s="214">
        <f t="shared" si="150"/>
        <v>3651867.2002117471</v>
      </c>
      <c r="K118" s="214">
        <f t="shared" si="150"/>
        <v>3651867.2002117471</v>
      </c>
      <c r="L118" s="214">
        <f>SUM(B118:K118)</f>
        <v>36606159.810086109</v>
      </c>
      <c r="M118" s="164"/>
      <c r="N118" s="168"/>
      <c r="O118" s="147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  <c r="AA118" s="151"/>
      <c r="AB118" s="168"/>
      <c r="AC118" s="168"/>
      <c r="AD118" s="168"/>
      <c r="AE118" s="151"/>
      <c r="AF118" s="168"/>
      <c r="AG118" s="168"/>
      <c r="AH118" s="168"/>
      <c r="AI118" s="168"/>
      <c r="AJ118" s="168"/>
      <c r="AK118" s="168"/>
      <c r="AL118" s="168"/>
      <c r="AM118" s="168"/>
      <c r="AN118" s="168"/>
      <c r="AO118" s="168"/>
      <c r="AP118" s="168"/>
      <c r="AQ118" s="168"/>
      <c r="AR118" s="168"/>
      <c r="AS118" s="168"/>
      <c r="AT118" s="168"/>
      <c r="AU118" s="168"/>
      <c r="AV118" s="168"/>
      <c r="AW118" s="168"/>
      <c r="AX118" s="168"/>
      <c r="AY118" s="168"/>
      <c r="AZ118" s="168"/>
      <c r="BA118" s="168"/>
      <c r="BB118" s="168"/>
      <c r="BC118" s="168"/>
      <c r="BD118" s="168"/>
      <c r="BE118" s="168"/>
      <c r="BF118" s="168"/>
      <c r="BG118" s="168"/>
      <c r="BH118" s="168"/>
      <c r="BI118" s="168"/>
      <c r="BJ118" s="168"/>
      <c r="BK118" s="168"/>
      <c r="BL118" s="168"/>
      <c r="BM118" s="168"/>
      <c r="BN118" s="168"/>
      <c r="BO118" s="168"/>
    </row>
    <row r="119" spans="1:67" s="157" customFormat="1" ht="15" customHeight="1" thickBot="1" x14ac:dyDescent="0.4">
      <c r="A119" s="193" t="s">
        <v>113</v>
      </c>
      <c r="B119" s="214">
        <f t="shared" ref="B119" si="151">B118/1000</f>
        <v>3695.6111041960626</v>
      </c>
      <c r="C119" s="214">
        <f t="shared" ref="C119" si="152">C118/1000</f>
        <v>3695.6111041960626</v>
      </c>
      <c r="D119" s="214">
        <f t="shared" ref="D119" si="153">D118/1000</f>
        <v>3651.8672002117469</v>
      </c>
      <c r="E119" s="214">
        <f t="shared" ref="E119" si="154">E118/1000</f>
        <v>3651.8672002117469</v>
      </c>
      <c r="F119" s="214">
        <f t="shared" ref="F119" si="155">F118/1000</f>
        <v>3651.8672002117469</v>
      </c>
      <c r="G119" s="214">
        <f t="shared" ref="G119" si="156">G118/1000</f>
        <v>3651.8672002117469</v>
      </c>
      <c r="H119" s="214">
        <f t="shared" ref="H119" si="157">H118/1000</f>
        <v>3651.8672002117469</v>
      </c>
      <c r="I119" s="214">
        <f t="shared" ref="I119" si="158">I118/1000</f>
        <v>3651.8672002117469</v>
      </c>
      <c r="J119" s="214">
        <f t="shared" ref="J119" si="159">J118/1000</f>
        <v>3651.8672002117469</v>
      </c>
      <c r="K119" s="214">
        <f t="shared" ref="K119" si="160">K118/1000</f>
        <v>3651.8672002117469</v>
      </c>
      <c r="L119" s="214">
        <f t="shared" ref="L119" si="161">L118/1000</f>
        <v>36606.159810086108</v>
      </c>
      <c r="M119" s="164"/>
      <c r="N119" s="168"/>
      <c r="O119" s="147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A119" s="151"/>
      <c r="AB119" s="168"/>
      <c r="AC119" s="168"/>
      <c r="AD119" s="168"/>
      <c r="AE119" s="151"/>
      <c r="AF119" s="168"/>
      <c r="AG119" s="168"/>
      <c r="AH119" s="168"/>
      <c r="AI119" s="168"/>
      <c r="AJ119" s="168"/>
      <c r="AK119" s="168"/>
      <c r="AL119" s="168"/>
      <c r="AM119" s="168"/>
      <c r="AN119" s="168"/>
      <c r="AO119" s="168"/>
      <c r="AP119" s="168"/>
      <c r="AQ119" s="168"/>
      <c r="AR119" s="168"/>
      <c r="AS119" s="168"/>
      <c r="AT119" s="168"/>
      <c r="AU119" s="168"/>
      <c r="AV119" s="168"/>
      <c r="AW119" s="168"/>
      <c r="AX119" s="168"/>
      <c r="AY119" s="168"/>
      <c r="AZ119" s="168"/>
      <c r="BA119" s="168"/>
      <c r="BB119" s="168"/>
      <c r="BC119" s="168"/>
      <c r="BD119" s="168"/>
      <c r="BE119" s="168"/>
      <c r="BF119" s="168"/>
      <c r="BG119" s="168"/>
      <c r="BH119" s="168"/>
      <c r="BI119" s="168"/>
      <c r="BJ119" s="168"/>
      <c r="BK119" s="168"/>
      <c r="BL119" s="168"/>
      <c r="BM119" s="168"/>
      <c r="BN119" s="168"/>
      <c r="BO119" s="168"/>
    </row>
    <row r="120" spans="1:67" s="152" customFormat="1" x14ac:dyDescent="0.35">
      <c r="A120" s="193" t="s">
        <v>64</v>
      </c>
      <c r="B120" s="215">
        <f t="shared" ref="B120" si="162">B119*$X$3</f>
        <v>864772.9983818786</v>
      </c>
      <c r="C120" s="215">
        <f t="shared" ref="C120" si="163">C119*$X$3</f>
        <v>864772.9983818786</v>
      </c>
      <c r="D120" s="215">
        <f t="shared" ref="D120" si="164">D119*$X$3</f>
        <v>854536.92484954873</v>
      </c>
      <c r="E120" s="215">
        <f t="shared" ref="E120" si="165">E119*$X$3</f>
        <v>854536.92484954873</v>
      </c>
      <c r="F120" s="215">
        <f t="shared" ref="F120" si="166">F119*$X$3</f>
        <v>854536.92484954873</v>
      </c>
      <c r="G120" s="215">
        <f t="shared" ref="G120" si="167">G119*$X$3</f>
        <v>854536.92484954873</v>
      </c>
      <c r="H120" s="215">
        <f t="shared" ref="H120" si="168">H119*$X$3</f>
        <v>854536.92484954873</v>
      </c>
      <c r="I120" s="215">
        <f t="shared" ref="I120" si="169">I119*$X$3</f>
        <v>854536.92484954873</v>
      </c>
      <c r="J120" s="215">
        <f t="shared" ref="J120" si="170">J119*$X$3</f>
        <v>854536.92484954873</v>
      </c>
      <c r="K120" s="215">
        <f t="shared" ref="K120" si="171">K119*$X$3</f>
        <v>854536.92484954873</v>
      </c>
      <c r="L120" s="215">
        <f t="shared" ref="L120" si="172">L119*$X$3</f>
        <v>8565841.3955601491</v>
      </c>
      <c r="M120" s="159"/>
      <c r="N120" s="168"/>
      <c r="O120" s="147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A120" s="151"/>
      <c r="AB120" s="168"/>
      <c r="AC120" s="168"/>
      <c r="AD120" s="168"/>
      <c r="AE120" s="151"/>
      <c r="AF120" s="168"/>
      <c r="AG120" s="168"/>
      <c r="AH120" s="168"/>
      <c r="AI120" s="168"/>
      <c r="AJ120" s="168"/>
      <c r="AK120" s="168"/>
      <c r="AL120" s="168"/>
      <c r="AM120" s="168"/>
      <c r="AN120" s="168"/>
      <c r="AO120" s="168"/>
      <c r="AP120" s="168"/>
      <c r="AQ120" s="168"/>
      <c r="AR120" s="168"/>
      <c r="AS120" s="168"/>
      <c r="AT120" s="168"/>
      <c r="AU120" s="168"/>
      <c r="AV120" s="168"/>
      <c r="AW120" s="168"/>
      <c r="AX120" s="168"/>
      <c r="AY120" s="168"/>
      <c r="AZ120" s="168"/>
      <c r="BA120" s="168"/>
      <c r="BB120" s="168"/>
      <c r="BC120" s="168"/>
      <c r="BD120" s="168"/>
      <c r="BE120" s="168"/>
      <c r="BF120" s="168"/>
      <c r="BG120" s="168"/>
      <c r="BH120" s="168"/>
      <c r="BI120" s="168"/>
      <c r="BJ120" s="168"/>
      <c r="BK120" s="168"/>
      <c r="BL120" s="168"/>
      <c r="BM120" s="168"/>
      <c r="BN120" s="168"/>
      <c r="BO120" s="168"/>
    </row>
    <row r="121" spans="1:67" s="152" customFormat="1" x14ac:dyDescent="0.35">
      <c r="A121" s="193"/>
      <c r="B121" s="194"/>
      <c r="C121" s="194"/>
      <c r="D121" s="214"/>
      <c r="E121" s="194"/>
      <c r="F121" s="194"/>
      <c r="G121" s="194"/>
      <c r="H121" s="194"/>
      <c r="I121" s="194"/>
      <c r="J121" s="194"/>
      <c r="K121" s="194"/>
      <c r="L121" s="194"/>
      <c r="M121" s="159"/>
      <c r="N121" s="168"/>
      <c r="O121" s="147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51"/>
      <c r="AB121" s="168"/>
      <c r="AC121" s="168"/>
      <c r="AD121" s="168"/>
      <c r="AE121" s="151"/>
      <c r="AF121" s="168"/>
      <c r="AG121" s="168"/>
      <c r="AH121" s="168"/>
      <c r="AI121" s="168"/>
      <c r="AJ121" s="168"/>
      <c r="AK121" s="168"/>
      <c r="AL121" s="168"/>
      <c r="AM121" s="168"/>
      <c r="AN121" s="168"/>
      <c r="AO121" s="168"/>
      <c r="AP121" s="168"/>
      <c r="AQ121" s="168"/>
      <c r="AR121" s="168"/>
      <c r="AS121" s="168"/>
      <c r="AT121" s="168"/>
      <c r="AU121" s="168"/>
      <c r="AV121" s="168"/>
      <c r="AW121" s="168"/>
      <c r="AX121" s="168"/>
      <c r="AY121" s="168"/>
      <c r="AZ121" s="168"/>
      <c r="BA121" s="168"/>
      <c r="BB121" s="168"/>
      <c r="BC121" s="168"/>
      <c r="BD121" s="168"/>
      <c r="BE121" s="168"/>
      <c r="BF121" s="168"/>
      <c r="BG121" s="168"/>
      <c r="BH121" s="168"/>
      <c r="BI121" s="168"/>
      <c r="BJ121" s="168"/>
      <c r="BK121" s="168"/>
      <c r="BL121" s="168"/>
      <c r="BM121" s="168"/>
      <c r="BN121" s="168"/>
      <c r="BO121" s="168"/>
    </row>
    <row r="122" spans="1:67" s="152" customFormat="1" ht="15" thickBot="1" x14ac:dyDescent="0.4">
      <c r="A122" s="197"/>
      <c r="B122" s="198"/>
      <c r="C122" s="198"/>
      <c r="D122" s="216"/>
      <c r="E122" s="198"/>
      <c r="F122" s="198"/>
      <c r="G122" s="198"/>
      <c r="H122" s="198"/>
      <c r="I122" s="198"/>
      <c r="J122" s="198"/>
      <c r="K122" s="198"/>
      <c r="L122" s="198"/>
      <c r="M122" s="159"/>
      <c r="N122" s="168"/>
      <c r="O122" s="147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  <c r="AA122" s="151"/>
      <c r="AB122" s="168"/>
      <c r="AC122" s="168"/>
      <c r="AD122" s="168"/>
      <c r="AE122" s="151"/>
      <c r="AF122" s="168"/>
      <c r="AG122" s="168"/>
      <c r="AH122" s="168"/>
      <c r="AI122" s="168"/>
      <c r="AJ122" s="168"/>
      <c r="AK122" s="168"/>
      <c r="AL122" s="168"/>
      <c r="AM122" s="168"/>
      <c r="AN122" s="168"/>
      <c r="AO122" s="168"/>
      <c r="AP122" s="168"/>
      <c r="AQ122" s="168"/>
      <c r="AR122" s="168"/>
      <c r="AS122" s="168"/>
      <c r="AT122" s="168"/>
      <c r="AU122" s="168"/>
      <c r="AV122" s="168"/>
      <c r="AW122" s="168"/>
      <c r="AX122" s="168"/>
      <c r="AY122" s="168"/>
      <c r="AZ122" s="168"/>
      <c r="BA122" s="168"/>
      <c r="BB122" s="168"/>
      <c r="BC122" s="168"/>
      <c r="BD122" s="168"/>
      <c r="BE122" s="168"/>
      <c r="BF122" s="168"/>
      <c r="BG122" s="168"/>
      <c r="BH122" s="168"/>
      <c r="BI122" s="168"/>
      <c r="BJ122" s="168"/>
      <c r="BK122" s="168"/>
      <c r="BL122" s="168"/>
      <c r="BM122" s="168"/>
      <c r="BN122" s="168"/>
      <c r="BO122" s="168"/>
    </row>
    <row r="123" spans="1:67" s="152" customFormat="1" x14ac:dyDescent="0.35">
      <c r="A123" s="179"/>
      <c r="B123" s="179"/>
      <c r="C123" s="179"/>
      <c r="D123" s="212"/>
      <c r="E123" s="179"/>
      <c r="F123" s="179"/>
      <c r="G123" s="179"/>
      <c r="H123" s="179"/>
      <c r="I123" s="179"/>
      <c r="J123" s="179"/>
      <c r="K123" s="179"/>
      <c r="L123" s="179"/>
      <c r="M123" s="160"/>
      <c r="N123" s="168"/>
      <c r="O123" s="147"/>
      <c r="P123" s="168"/>
      <c r="Q123" s="168"/>
      <c r="R123" s="168"/>
      <c r="S123" s="168"/>
      <c r="T123" s="168"/>
      <c r="U123" s="168"/>
      <c r="V123" s="168"/>
      <c r="W123" s="168"/>
      <c r="X123" s="168"/>
      <c r="Y123" s="168"/>
      <c r="Z123" s="168"/>
      <c r="AA123" s="151"/>
      <c r="AB123" s="168"/>
      <c r="AC123" s="168"/>
      <c r="AD123" s="168"/>
      <c r="AE123" s="151"/>
      <c r="AF123" s="168"/>
      <c r="AG123" s="168"/>
      <c r="AH123" s="168"/>
      <c r="AI123" s="168"/>
      <c r="AJ123" s="168"/>
      <c r="AK123" s="168"/>
      <c r="AL123" s="168"/>
      <c r="AM123" s="168"/>
      <c r="AN123" s="168"/>
      <c r="AO123" s="168"/>
      <c r="AP123" s="168"/>
      <c r="AQ123" s="168"/>
      <c r="AR123" s="168"/>
      <c r="AS123" s="168"/>
      <c r="AT123" s="168"/>
      <c r="AU123" s="168"/>
      <c r="AV123" s="168"/>
      <c r="AW123" s="168"/>
      <c r="AX123" s="168"/>
      <c r="AY123" s="168"/>
      <c r="AZ123" s="168"/>
      <c r="BA123" s="168"/>
      <c r="BB123" s="168"/>
      <c r="BC123" s="168"/>
      <c r="BD123" s="168"/>
      <c r="BE123" s="168"/>
      <c r="BF123" s="168"/>
      <c r="BG123" s="168"/>
      <c r="BH123" s="168"/>
      <c r="BI123" s="168"/>
      <c r="BJ123" s="168"/>
      <c r="BK123" s="168"/>
      <c r="BL123" s="168"/>
      <c r="BM123" s="168"/>
      <c r="BN123" s="168"/>
      <c r="BO123" s="168"/>
    </row>
    <row r="124" spans="1:67" s="152" customFormat="1" x14ac:dyDescent="0.35">
      <c r="A124" s="179"/>
      <c r="B124" s="179"/>
      <c r="C124" s="179"/>
      <c r="D124" s="212"/>
      <c r="E124" s="179"/>
      <c r="F124" s="179"/>
      <c r="G124" s="179"/>
      <c r="H124" s="179"/>
      <c r="I124" s="179"/>
      <c r="J124" s="179"/>
      <c r="K124" s="179"/>
      <c r="L124" s="179"/>
      <c r="M124" s="159"/>
      <c r="N124" s="168"/>
      <c r="O124" s="147"/>
      <c r="P124" s="168"/>
      <c r="Q124" s="168"/>
      <c r="R124" s="168"/>
      <c r="S124" s="168"/>
      <c r="T124" s="168"/>
      <c r="U124" s="168"/>
      <c r="V124" s="168"/>
      <c r="W124" s="168"/>
      <c r="X124" s="168"/>
      <c r="Y124" s="168"/>
      <c r="Z124" s="168"/>
      <c r="AA124" s="151"/>
      <c r="AB124" s="168"/>
      <c r="AC124" s="168"/>
      <c r="AD124" s="168"/>
      <c r="AE124" s="151"/>
      <c r="AF124" s="168"/>
      <c r="AG124" s="168"/>
      <c r="AH124" s="168"/>
      <c r="AI124" s="168"/>
      <c r="AJ124" s="168"/>
      <c r="AK124" s="168"/>
      <c r="AL124" s="168"/>
      <c r="AM124" s="168"/>
      <c r="AN124" s="168"/>
      <c r="AO124" s="168"/>
      <c r="AP124" s="168"/>
      <c r="AQ124" s="168"/>
      <c r="AR124" s="168"/>
      <c r="AS124" s="168"/>
      <c r="AT124" s="168"/>
      <c r="AU124" s="168"/>
      <c r="AV124" s="168"/>
      <c r="AW124" s="168"/>
      <c r="AX124" s="168"/>
      <c r="AY124" s="168"/>
      <c r="AZ124" s="168"/>
      <c r="BA124" s="168"/>
      <c r="BB124" s="168"/>
      <c r="BC124" s="168"/>
      <c r="BD124" s="168"/>
      <c r="BE124" s="168"/>
      <c r="BF124" s="168"/>
      <c r="BG124" s="168"/>
      <c r="BH124" s="168"/>
      <c r="BI124" s="168"/>
      <c r="BJ124" s="168"/>
      <c r="BK124" s="168"/>
      <c r="BL124" s="168"/>
      <c r="BM124" s="168"/>
      <c r="BN124" s="168"/>
      <c r="BO124" s="168"/>
    </row>
    <row r="125" spans="1:67" s="152" customFormat="1" x14ac:dyDescent="0.35">
      <c r="A125" s="180" t="s">
        <v>0</v>
      </c>
      <c r="B125" s="182" t="s">
        <v>10</v>
      </c>
      <c r="C125" s="182" t="s">
        <v>11</v>
      </c>
      <c r="D125" s="209" t="s">
        <v>12</v>
      </c>
      <c r="E125" s="182" t="s">
        <v>13</v>
      </c>
      <c r="F125" s="182" t="s">
        <v>14</v>
      </c>
      <c r="G125" s="182" t="s">
        <v>15</v>
      </c>
      <c r="H125" s="182" t="s">
        <v>16</v>
      </c>
      <c r="I125" s="183" t="s">
        <v>17</v>
      </c>
      <c r="J125" s="184" t="s">
        <v>23</v>
      </c>
      <c r="K125" s="184" t="s">
        <v>24</v>
      </c>
      <c r="L125" s="185" t="s">
        <v>18</v>
      </c>
      <c r="M125" s="159"/>
      <c r="N125" s="168"/>
      <c r="O125" s="147"/>
      <c r="P125" s="168"/>
      <c r="Q125" s="168"/>
      <c r="R125" s="168"/>
      <c r="S125" s="168"/>
      <c r="T125" s="168"/>
      <c r="U125" s="168"/>
      <c r="V125" s="168"/>
      <c r="W125" s="168"/>
      <c r="X125" s="168"/>
      <c r="Y125" s="168"/>
      <c r="Z125" s="168"/>
      <c r="AA125" s="151"/>
      <c r="AB125" s="168"/>
      <c r="AC125" s="168"/>
      <c r="AD125" s="168"/>
      <c r="AE125" s="151"/>
      <c r="AF125" s="168"/>
      <c r="AG125" s="168"/>
      <c r="AH125" s="168"/>
      <c r="AI125" s="168"/>
      <c r="AJ125" s="168"/>
      <c r="AK125" s="168"/>
      <c r="AL125" s="168"/>
      <c r="AM125" s="168"/>
      <c r="AN125" s="168"/>
      <c r="AO125" s="168"/>
      <c r="AP125" s="168"/>
      <c r="AQ125" s="168"/>
      <c r="AR125" s="168"/>
      <c r="AS125" s="168"/>
      <c r="AT125" s="168"/>
      <c r="AU125" s="168"/>
      <c r="AV125" s="168"/>
      <c r="AW125" s="168"/>
      <c r="AX125" s="168"/>
      <c r="AY125" s="168"/>
      <c r="AZ125" s="168"/>
      <c r="BA125" s="168"/>
      <c r="BB125" s="168"/>
      <c r="BC125" s="168"/>
      <c r="BD125" s="168"/>
      <c r="BE125" s="168"/>
      <c r="BF125" s="168"/>
      <c r="BG125" s="168"/>
      <c r="BH125" s="168"/>
      <c r="BI125" s="168"/>
      <c r="BJ125" s="168"/>
      <c r="BK125" s="168"/>
      <c r="BL125" s="168"/>
      <c r="BM125" s="168"/>
      <c r="BN125" s="168"/>
      <c r="BO125" s="168"/>
    </row>
    <row r="126" spans="1:67" s="152" customFormat="1" x14ac:dyDescent="0.35">
      <c r="A126" s="154" t="s">
        <v>34</v>
      </c>
      <c r="B126" s="199">
        <v>1015</v>
      </c>
      <c r="C126" s="199">
        <v>1015</v>
      </c>
      <c r="D126" s="217">
        <v>1015</v>
      </c>
      <c r="E126" s="199">
        <v>1015</v>
      </c>
      <c r="F126" s="199">
        <v>1015</v>
      </c>
      <c r="G126" s="199">
        <v>1015</v>
      </c>
      <c r="H126" s="199">
        <v>1015</v>
      </c>
      <c r="I126" s="199">
        <v>1015</v>
      </c>
      <c r="J126" s="199">
        <v>1015</v>
      </c>
      <c r="K126" s="199">
        <v>1015</v>
      </c>
      <c r="L126" s="200">
        <f>SUM(B126:K126)</f>
        <v>10150</v>
      </c>
      <c r="M126" s="159"/>
      <c r="N126" s="168"/>
      <c r="O126" s="147"/>
      <c r="P126" s="168"/>
      <c r="Q126" s="168"/>
      <c r="R126" s="168"/>
      <c r="S126" s="168"/>
      <c r="T126" s="168"/>
      <c r="U126" s="168"/>
      <c r="V126" s="168"/>
      <c r="W126" s="168"/>
      <c r="X126" s="168"/>
      <c r="Y126" s="168"/>
      <c r="Z126" s="168"/>
      <c r="AA126" s="151"/>
      <c r="AB126" s="168"/>
      <c r="AC126" s="168"/>
      <c r="AD126" s="168"/>
      <c r="AE126" s="151"/>
      <c r="AF126" s="168"/>
      <c r="AG126" s="168"/>
      <c r="AH126" s="168"/>
      <c r="AI126" s="168"/>
      <c r="AJ126" s="168"/>
      <c r="AK126" s="168"/>
      <c r="AL126" s="168"/>
      <c r="AM126" s="168"/>
      <c r="AN126" s="168"/>
      <c r="AO126" s="168"/>
      <c r="AP126" s="168"/>
      <c r="AQ126" s="168"/>
      <c r="AR126" s="168"/>
      <c r="AS126" s="168"/>
      <c r="AT126" s="168"/>
      <c r="AU126" s="168"/>
      <c r="AV126" s="168"/>
      <c r="AW126" s="168"/>
      <c r="AX126" s="168"/>
      <c r="AY126" s="168"/>
      <c r="AZ126" s="168"/>
      <c r="BA126" s="168"/>
      <c r="BB126" s="168"/>
      <c r="BC126" s="168"/>
      <c r="BD126" s="168"/>
      <c r="BE126" s="168"/>
      <c r="BF126" s="168"/>
      <c r="BG126" s="168"/>
      <c r="BH126" s="168"/>
      <c r="BI126" s="168"/>
      <c r="BJ126" s="168"/>
      <c r="BK126" s="168"/>
      <c r="BL126" s="168"/>
      <c r="BM126" s="168"/>
      <c r="BN126" s="168"/>
      <c r="BO126" s="168"/>
    </row>
    <row r="127" spans="1:67" s="158" customFormat="1" x14ac:dyDescent="0.35">
      <c r="A127" s="187" t="s">
        <v>20</v>
      </c>
      <c r="B127" s="201">
        <f>'housing proportion projections'!L46</f>
        <v>167.89397131106429</v>
      </c>
      <c r="C127" s="201">
        <f>'housing proportion projections'!M46</f>
        <v>167.89397131106429</v>
      </c>
      <c r="D127" s="201">
        <f>'housing proportion projections'!N46</f>
        <v>167.89397131106429</v>
      </c>
      <c r="E127" s="201">
        <f>'housing proportion projections'!O46</f>
        <v>167.89397131106429</v>
      </c>
      <c r="F127" s="201">
        <f>'housing proportion projections'!P46</f>
        <v>167.89397131106429</v>
      </c>
      <c r="G127" s="201">
        <f>'housing proportion projections'!Q46</f>
        <v>167.89397131106429</v>
      </c>
      <c r="H127" s="201">
        <f>'housing proportion projections'!R46</f>
        <v>167.89397131106429</v>
      </c>
      <c r="I127" s="201">
        <f>'housing proportion projections'!S46</f>
        <v>167.89397131106429</v>
      </c>
      <c r="J127" s="201">
        <f>'housing proportion projections'!T46</f>
        <v>167.89397131106429</v>
      </c>
      <c r="K127" s="201">
        <f>'housing proportion projections'!U46</f>
        <v>167.89397131106429</v>
      </c>
      <c r="L127" s="200">
        <f t="shared" ref="L127:L130" si="173">SUM(B127:K127)</f>
        <v>1678.9397131106427</v>
      </c>
      <c r="M127" s="167"/>
      <c r="N127" s="168"/>
      <c r="O127" s="147"/>
      <c r="P127" s="168"/>
      <c r="Q127" s="168"/>
      <c r="R127" s="168"/>
      <c r="S127" s="168"/>
      <c r="T127" s="168"/>
      <c r="U127" s="168"/>
      <c r="V127" s="168"/>
      <c r="W127" s="168"/>
      <c r="X127" s="168"/>
      <c r="Y127" s="168"/>
      <c r="Z127" s="168"/>
      <c r="AA127" s="151"/>
      <c r="AB127" s="168"/>
      <c r="AC127" s="168"/>
      <c r="AD127" s="168"/>
      <c r="AE127" s="151"/>
      <c r="AF127" s="168"/>
      <c r="AG127" s="168"/>
      <c r="AH127" s="168"/>
      <c r="AI127" s="168"/>
      <c r="AJ127" s="168"/>
      <c r="AK127" s="168"/>
      <c r="AL127" s="168"/>
      <c r="AM127" s="168"/>
      <c r="AN127" s="168"/>
      <c r="AO127" s="168"/>
      <c r="AP127" s="168"/>
      <c r="AQ127" s="168"/>
      <c r="AR127" s="168"/>
      <c r="AS127" s="168"/>
      <c r="AT127" s="168"/>
      <c r="AU127" s="168"/>
      <c r="AV127" s="168"/>
      <c r="AW127" s="168"/>
      <c r="AX127" s="168"/>
      <c r="AY127" s="168"/>
      <c r="AZ127" s="168"/>
      <c r="BA127" s="168"/>
      <c r="BB127" s="168"/>
      <c r="BC127" s="168"/>
      <c r="BD127" s="168"/>
      <c r="BE127" s="168"/>
      <c r="BF127" s="168"/>
      <c r="BG127" s="168"/>
      <c r="BH127" s="168"/>
      <c r="BI127" s="168"/>
      <c r="BJ127" s="168"/>
      <c r="BK127" s="168"/>
      <c r="BL127" s="168"/>
      <c r="BM127" s="168"/>
      <c r="BN127" s="168"/>
      <c r="BO127" s="168"/>
    </row>
    <row r="128" spans="1:67" s="152" customFormat="1" ht="15" thickBot="1" x14ac:dyDescent="0.4">
      <c r="A128" s="187" t="s">
        <v>21</v>
      </c>
      <c r="B128" s="201">
        <f>'housing proportion projections'!L47</f>
        <v>405.32801685224194</v>
      </c>
      <c r="C128" s="201">
        <f>'housing proportion projections'!M47</f>
        <v>405.32801685224194</v>
      </c>
      <c r="D128" s="201">
        <f>'housing proportion projections'!N47</f>
        <v>405.32801685224194</v>
      </c>
      <c r="E128" s="201">
        <f>'housing proportion projections'!O47</f>
        <v>405.32801685224194</v>
      </c>
      <c r="F128" s="201">
        <f>'housing proportion projections'!P47</f>
        <v>405.32801685224194</v>
      </c>
      <c r="G128" s="201">
        <f>'housing proportion projections'!Q47</f>
        <v>405.32801685224194</v>
      </c>
      <c r="H128" s="201">
        <f>'housing proportion projections'!R47</f>
        <v>405.32801685224194</v>
      </c>
      <c r="I128" s="201">
        <f>'housing proportion projections'!S47</f>
        <v>405.32801685224194</v>
      </c>
      <c r="J128" s="201">
        <f>'housing proportion projections'!T47</f>
        <v>405.32801685224194</v>
      </c>
      <c r="K128" s="201">
        <f>'housing proportion projections'!U47</f>
        <v>405.32801685224194</v>
      </c>
      <c r="L128" s="200">
        <f t="shared" si="173"/>
        <v>4053.2801685224194</v>
      </c>
      <c r="M128" s="159"/>
      <c r="N128" s="168"/>
      <c r="O128" s="147"/>
      <c r="P128" s="168"/>
      <c r="Q128" s="168"/>
      <c r="R128" s="168"/>
      <c r="S128" s="168"/>
      <c r="T128" s="168"/>
      <c r="U128" s="168"/>
      <c r="V128" s="168"/>
      <c r="W128" s="168"/>
      <c r="X128" s="168"/>
      <c r="Y128" s="168"/>
      <c r="Z128" s="168"/>
      <c r="AA128" s="151"/>
      <c r="AB128" s="168"/>
      <c r="AC128" s="168"/>
      <c r="AD128" s="168"/>
      <c r="AE128" s="151"/>
      <c r="AF128" s="168"/>
      <c r="AG128" s="168"/>
      <c r="AH128" s="168"/>
      <c r="AI128" s="168"/>
      <c r="AJ128" s="168"/>
      <c r="AK128" s="168"/>
      <c r="AL128" s="168"/>
      <c r="AM128" s="168"/>
      <c r="AN128" s="168"/>
      <c r="AO128" s="168"/>
      <c r="AP128" s="168"/>
      <c r="AQ128" s="168"/>
      <c r="AR128" s="168"/>
      <c r="AS128" s="168"/>
      <c r="AT128" s="168"/>
      <c r="AU128" s="168"/>
      <c r="AV128" s="168"/>
      <c r="AW128" s="168"/>
      <c r="AX128" s="168"/>
      <c r="AY128" s="168"/>
      <c r="AZ128" s="168"/>
      <c r="BA128" s="168"/>
      <c r="BB128" s="168"/>
      <c r="BC128" s="168"/>
      <c r="BD128" s="168"/>
      <c r="BE128" s="168"/>
      <c r="BF128" s="168"/>
      <c r="BG128" s="168"/>
      <c r="BH128" s="168"/>
      <c r="BI128" s="168"/>
      <c r="BJ128" s="168"/>
      <c r="BK128" s="168"/>
      <c r="BL128" s="168"/>
      <c r="BM128" s="168"/>
      <c r="BN128" s="168"/>
      <c r="BO128" s="168"/>
    </row>
    <row r="129" spans="1:67" s="156" customFormat="1" x14ac:dyDescent="0.35">
      <c r="A129" s="187" t="s">
        <v>26</v>
      </c>
      <c r="B129" s="201">
        <f>'housing proportion projections'!L48</f>
        <v>227.76156083859968</v>
      </c>
      <c r="C129" s="201">
        <f>'housing proportion projections'!M48</f>
        <v>227.76156083859968</v>
      </c>
      <c r="D129" s="201">
        <f>'housing proportion projections'!N48</f>
        <v>227.76156083859968</v>
      </c>
      <c r="E129" s="201">
        <f>'housing proportion projections'!O48</f>
        <v>227.76156083859968</v>
      </c>
      <c r="F129" s="201">
        <f>'housing proportion projections'!P48</f>
        <v>227.76156083859968</v>
      </c>
      <c r="G129" s="201">
        <f>'housing proportion projections'!Q48</f>
        <v>227.76156083859968</v>
      </c>
      <c r="H129" s="201">
        <f>'housing proportion projections'!R48</f>
        <v>227.76156083859968</v>
      </c>
      <c r="I129" s="201">
        <f>'housing proportion projections'!S48</f>
        <v>227.76156083859968</v>
      </c>
      <c r="J129" s="201">
        <f>'housing proportion projections'!T48</f>
        <v>227.76156083859968</v>
      </c>
      <c r="K129" s="201">
        <f>'housing proportion projections'!U48</f>
        <v>227.76156083859968</v>
      </c>
      <c r="L129" s="200">
        <f t="shared" si="173"/>
        <v>2277.6156083859969</v>
      </c>
      <c r="M129" s="161"/>
      <c r="N129" s="168"/>
      <c r="O129" s="147"/>
      <c r="P129" s="168"/>
      <c r="Q129" s="168"/>
      <c r="R129" s="168"/>
      <c r="S129" s="168"/>
      <c r="T129" s="168"/>
      <c r="U129" s="168"/>
      <c r="V129" s="168"/>
      <c r="W129" s="168"/>
      <c r="X129" s="168"/>
      <c r="Y129" s="168"/>
      <c r="Z129" s="168"/>
      <c r="AA129" s="151"/>
      <c r="AB129" s="168"/>
      <c r="AC129" s="168"/>
      <c r="AD129" s="168"/>
      <c r="AE129" s="151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168"/>
      <c r="AQ129" s="168"/>
      <c r="AR129" s="168"/>
      <c r="AS129" s="168"/>
      <c r="AT129" s="168"/>
      <c r="AU129" s="168"/>
      <c r="AV129" s="168"/>
      <c r="AW129" s="168"/>
      <c r="AX129" s="168"/>
      <c r="AY129" s="168"/>
      <c r="AZ129" s="168"/>
      <c r="BA129" s="168"/>
      <c r="BB129" s="168"/>
      <c r="BC129" s="168"/>
      <c r="BD129" s="168"/>
      <c r="BE129" s="168"/>
      <c r="BF129" s="168"/>
      <c r="BG129" s="168"/>
      <c r="BH129" s="168"/>
      <c r="BI129" s="168"/>
      <c r="BJ129" s="168"/>
      <c r="BK129" s="168"/>
      <c r="BL129" s="168"/>
      <c r="BM129" s="168"/>
      <c r="BN129" s="168"/>
      <c r="BO129" s="168"/>
    </row>
    <row r="130" spans="1:67" s="155" customFormat="1" x14ac:dyDescent="0.35">
      <c r="A130" s="190" t="s">
        <v>22</v>
      </c>
      <c r="B130" s="201">
        <f>'housing proportion projections'!L49</f>
        <v>214.11826662654227</v>
      </c>
      <c r="C130" s="201">
        <f>'housing proportion projections'!M49</f>
        <v>214.11826662654227</v>
      </c>
      <c r="D130" s="201">
        <f>'housing proportion projections'!N49</f>
        <v>214.11826662654227</v>
      </c>
      <c r="E130" s="201">
        <f>'housing proportion projections'!O49</f>
        <v>214.11826662654227</v>
      </c>
      <c r="F130" s="201">
        <f>'housing proportion projections'!P49</f>
        <v>214.11826662654227</v>
      </c>
      <c r="G130" s="201">
        <f>'housing proportion projections'!Q49</f>
        <v>214.11826662654227</v>
      </c>
      <c r="H130" s="201">
        <f>'housing proportion projections'!R49</f>
        <v>214.11826662654227</v>
      </c>
      <c r="I130" s="201">
        <f>'housing proportion projections'!S49</f>
        <v>214.11826662654227</v>
      </c>
      <c r="J130" s="201">
        <f>'housing proportion projections'!T49</f>
        <v>214.11826662654227</v>
      </c>
      <c r="K130" s="201">
        <f>'housing proportion projections'!U49</f>
        <v>214.11826662654227</v>
      </c>
      <c r="L130" s="200">
        <f t="shared" si="173"/>
        <v>2141.1826662654225</v>
      </c>
      <c r="M130" s="162"/>
      <c r="N130" s="168"/>
      <c r="O130" s="147"/>
      <c r="P130" s="168"/>
      <c r="Q130" s="168"/>
      <c r="R130" s="168"/>
      <c r="S130" s="168"/>
      <c r="T130" s="168"/>
      <c r="U130" s="168"/>
      <c r="V130" s="168"/>
      <c r="W130" s="168"/>
      <c r="X130" s="168"/>
      <c r="Y130" s="168"/>
      <c r="Z130" s="168"/>
      <c r="AA130" s="151"/>
      <c r="AB130" s="168"/>
      <c r="AC130" s="168"/>
      <c r="AD130" s="168"/>
      <c r="AE130" s="151"/>
      <c r="AF130" s="168"/>
      <c r="AG130" s="168"/>
      <c r="AH130" s="168"/>
      <c r="AI130" s="168"/>
      <c r="AJ130" s="168"/>
      <c r="AK130" s="168"/>
      <c r="AL130" s="168"/>
      <c r="AM130" s="168"/>
      <c r="AN130" s="168"/>
      <c r="AO130" s="168"/>
      <c r="AP130" s="168"/>
      <c r="AQ130" s="168"/>
      <c r="AR130" s="168"/>
      <c r="AS130" s="168"/>
      <c r="AT130" s="168"/>
      <c r="AU130" s="168"/>
      <c r="AV130" s="168"/>
      <c r="AW130" s="168"/>
      <c r="AX130" s="168"/>
      <c r="AY130" s="168"/>
      <c r="AZ130" s="168"/>
      <c r="BA130" s="168"/>
      <c r="BB130" s="168"/>
      <c r="BC130" s="168"/>
      <c r="BD130" s="168"/>
      <c r="BE130" s="168"/>
      <c r="BF130" s="168"/>
      <c r="BG130" s="168"/>
      <c r="BH130" s="168"/>
      <c r="BI130" s="168"/>
      <c r="BJ130" s="168"/>
      <c r="BK130" s="168"/>
      <c r="BL130" s="168"/>
      <c r="BM130" s="168"/>
      <c r="BN130" s="168"/>
      <c r="BO130" s="168"/>
    </row>
    <row r="131" spans="1:67" s="155" customFormat="1" ht="15" thickBot="1" x14ac:dyDescent="0.4">
      <c r="A131" s="179"/>
      <c r="B131" s="179"/>
      <c r="C131" s="179"/>
      <c r="D131" s="212"/>
      <c r="E131" s="179"/>
      <c r="F131" s="179"/>
      <c r="G131" s="179"/>
      <c r="H131" s="179"/>
      <c r="I131" s="179"/>
      <c r="J131" s="179"/>
      <c r="K131" s="179"/>
      <c r="L131" s="179"/>
      <c r="M131" s="163"/>
      <c r="N131" s="168"/>
      <c r="O131" s="147"/>
      <c r="P131" s="168"/>
      <c r="Q131" s="168"/>
      <c r="R131" s="168"/>
      <c r="S131" s="168"/>
      <c r="T131" s="168"/>
      <c r="U131" s="168"/>
      <c r="V131" s="168"/>
      <c r="W131" s="168"/>
      <c r="X131" s="168"/>
      <c r="Y131" s="168"/>
      <c r="Z131" s="168"/>
      <c r="AA131" s="151"/>
      <c r="AB131" s="168"/>
      <c r="AC131" s="168"/>
      <c r="AD131" s="168"/>
      <c r="AE131" s="151"/>
      <c r="AF131" s="168"/>
      <c r="AG131" s="168"/>
      <c r="AH131" s="168"/>
      <c r="AI131" s="168"/>
      <c r="AJ131" s="168"/>
      <c r="AK131" s="168"/>
      <c r="AL131" s="168"/>
      <c r="AM131" s="168"/>
      <c r="AN131" s="168"/>
      <c r="AO131" s="168"/>
      <c r="AP131" s="168"/>
      <c r="AQ131" s="168"/>
      <c r="AR131" s="168"/>
      <c r="AS131" s="168"/>
      <c r="AT131" s="168"/>
      <c r="AU131" s="168"/>
      <c r="AV131" s="168"/>
      <c r="AW131" s="168"/>
      <c r="AX131" s="168"/>
      <c r="AY131" s="168"/>
      <c r="AZ131" s="168"/>
      <c r="BA131" s="168"/>
      <c r="BB131" s="168"/>
      <c r="BC131" s="168"/>
      <c r="BD131" s="168"/>
      <c r="BE131" s="168"/>
      <c r="BF131" s="168"/>
      <c r="BG131" s="168"/>
      <c r="BH131" s="168"/>
      <c r="BI131" s="168"/>
      <c r="BJ131" s="168"/>
      <c r="BK131" s="168"/>
      <c r="BL131" s="168"/>
      <c r="BM131" s="168"/>
      <c r="BN131" s="168"/>
      <c r="BO131" s="168"/>
    </row>
    <row r="132" spans="1:67" s="155" customFormat="1" x14ac:dyDescent="0.35">
      <c r="A132" s="191" t="s">
        <v>134</v>
      </c>
      <c r="B132" s="192"/>
      <c r="C132" s="192"/>
      <c r="D132" s="213"/>
      <c r="E132" s="192"/>
      <c r="F132" s="192"/>
      <c r="G132" s="192"/>
      <c r="H132" s="192"/>
      <c r="I132" s="192"/>
      <c r="J132" s="192"/>
      <c r="K132" s="192"/>
      <c r="L132" s="192"/>
      <c r="M132" s="162"/>
      <c r="N132" s="168"/>
      <c r="O132" s="147"/>
      <c r="P132" s="168"/>
      <c r="Q132" s="168"/>
      <c r="R132" s="168"/>
      <c r="S132" s="168"/>
      <c r="T132" s="168"/>
      <c r="U132" s="168"/>
      <c r="V132" s="168"/>
      <c r="W132" s="168"/>
      <c r="X132" s="168"/>
      <c r="Y132" s="168"/>
      <c r="Z132" s="168"/>
      <c r="AA132" s="151"/>
      <c r="AB132" s="168"/>
      <c r="AC132" s="168"/>
      <c r="AD132" s="168"/>
      <c r="AE132" s="151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68"/>
      <c r="AQ132" s="168"/>
      <c r="AR132" s="168"/>
      <c r="AS132" s="168"/>
      <c r="AT132" s="168"/>
      <c r="AU132" s="168"/>
      <c r="AV132" s="168"/>
      <c r="AW132" s="168"/>
      <c r="AX132" s="168"/>
      <c r="AY132" s="168"/>
      <c r="AZ132" s="168"/>
      <c r="BA132" s="168"/>
      <c r="BB132" s="168"/>
      <c r="BC132" s="168"/>
      <c r="BD132" s="168"/>
      <c r="BE132" s="168"/>
      <c r="BF132" s="168"/>
      <c r="BG132" s="168"/>
      <c r="BH132" s="168"/>
      <c r="BI132" s="168"/>
      <c r="BJ132" s="168"/>
      <c r="BK132" s="168"/>
      <c r="BL132" s="168"/>
      <c r="BM132" s="168"/>
      <c r="BN132" s="168"/>
      <c r="BO132" s="168"/>
    </row>
    <row r="133" spans="1:67" s="157" customFormat="1" ht="15" thickBot="1" x14ac:dyDescent="0.4">
      <c r="A133" s="193" t="s">
        <v>112</v>
      </c>
      <c r="B133" s="214">
        <f>((B127*$AB$27)+(B128*$AB$28)+(B129*$AB$29)+(B130*$AB$30))*30</f>
        <v>7793488.7982419245</v>
      </c>
      <c r="C133" s="214">
        <f>((C127*$AB$27)+(C128*$AB$28)+(C129*$AB$29)+(C130*$AB$30))*30</f>
        <v>7793488.7982419245</v>
      </c>
      <c r="D133" s="214">
        <f>((D127*$AF$27)+(D128*$AF$28)+(D129*$AF$29)+(D130*$AF$30))*30</f>
        <v>7700180.6799026225</v>
      </c>
      <c r="E133" s="214">
        <f t="shared" ref="E133:K133" si="174">((E127*$AF$27)+(E128*$AF$28)+(E129*$AF$29)+(E130*$AF$30))*30</f>
        <v>7700180.6799026225</v>
      </c>
      <c r="F133" s="214">
        <f t="shared" si="174"/>
        <v>7700180.6799026225</v>
      </c>
      <c r="G133" s="214">
        <f t="shared" si="174"/>
        <v>7700180.6799026225</v>
      </c>
      <c r="H133" s="214">
        <f t="shared" si="174"/>
        <v>7700180.6799026225</v>
      </c>
      <c r="I133" s="214">
        <f t="shared" si="174"/>
        <v>7700180.6799026225</v>
      </c>
      <c r="J133" s="214">
        <f t="shared" si="174"/>
        <v>7700180.6799026225</v>
      </c>
      <c r="K133" s="214">
        <f t="shared" si="174"/>
        <v>7700180.6799026225</v>
      </c>
      <c r="L133" s="214">
        <f>SUM(B133:K133)</f>
        <v>77188423.035704821</v>
      </c>
      <c r="M133" s="164"/>
      <c r="N133" s="168"/>
      <c r="O133" s="147"/>
      <c r="P133" s="168"/>
      <c r="Q133" s="168"/>
      <c r="R133" s="168"/>
      <c r="S133" s="168"/>
      <c r="T133" s="168"/>
      <c r="U133" s="168"/>
      <c r="V133" s="168"/>
      <c r="W133" s="168"/>
      <c r="X133" s="168"/>
      <c r="Y133" s="168"/>
      <c r="Z133" s="168"/>
      <c r="AA133" s="151"/>
      <c r="AB133" s="168"/>
      <c r="AC133" s="168"/>
      <c r="AD133" s="168"/>
      <c r="AE133" s="151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68"/>
      <c r="AQ133" s="168"/>
      <c r="AR133" s="168"/>
      <c r="AS133" s="168"/>
      <c r="AT133" s="168"/>
      <c r="AU133" s="168"/>
      <c r="AV133" s="168"/>
      <c r="AW133" s="168"/>
      <c r="AX133" s="168"/>
      <c r="AY133" s="168"/>
      <c r="AZ133" s="168"/>
      <c r="BA133" s="168"/>
      <c r="BB133" s="168"/>
      <c r="BC133" s="168"/>
      <c r="BD133" s="168"/>
      <c r="BE133" s="168"/>
      <c r="BF133" s="168"/>
      <c r="BG133" s="168"/>
      <c r="BH133" s="168"/>
      <c r="BI133" s="168"/>
      <c r="BJ133" s="168"/>
      <c r="BK133" s="168"/>
      <c r="BL133" s="168"/>
      <c r="BM133" s="168"/>
      <c r="BN133" s="168"/>
      <c r="BO133" s="168"/>
    </row>
    <row r="134" spans="1:67" s="157" customFormat="1" ht="15" customHeight="1" thickBot="1" x14ac:dyDescent="0.4">
      <c r="A134" s="193" t="s">
        <v>113</v>
      </c>
      <c r="B134" s="214">
        <f t="shared" ref="B134" si="175">B133/1000</f>
        <v>7793.4887982419241</v>
      </c>
      <c r="C134" s="214">
        <f t="shared" ref="C134" si="176">C133/1000</f>
        <v>7793.4887982419241</v>
      </c>
      <c r="D134" s="214">
        <f t="shared" ref="D134" si="177">D133/1000</f>
        <v>7700.1806799026226</v>
      </c>
      <c r="E134" s="214">
        <f t="shared" ref="E134" si="178">E133/1000</f>
        <v>7700.1806799026226</v>
      </c>
      <c r="F134" s="214">
        <f t="shared" ref="F134" si="179">F133/1000</f>
        <v>7700.1806799026226</v>
      </c>
      <c r="G134" s="214">
        <f t="shared" ref="G134" si="180">G133/1000</f>
        <v>7700.1806799026226</v>
      </c>
      <c r="H134" s="214">
        <f t="shared" ref="H134" si="181">H133/1000</f>
        <v>7700.1806799026226</v>
      </c>
      <c r="I134" s="214">
        <f t="shared" ref="I134" si="182">I133/1000</f>
        <v>7700.1806799026226</v>
      </c>
      <c r="J134" s="214">
        <f t="shared" ref="J134" si="183">J133/1000</f>
        <v>7700.1806799026226</v>
      </c>
      <c r="K134" s="214">
        <f t="shared" ref="K134" si="184">K133/1000</f>
        <v>7700.1806799026226</v>
      </c>
      <c r="L134" s="214">
        <f t="shared" ref="L134" si="185">L133/1000</f>
        <v>77188.423035704822</v>
      </c>
      <c r="M134" s="164"/>
      <c r="N134" s="168"/>
      <c r="O134" s="147"/>
      <c r="P134" s="168"/>
      <c r="Q134" s="168"/>
      <c r="R134" s="168"/>
      <c r="S134" s="168"/>
      <c r="T134" s="168"/>
      <c r="U134" s="168"/>
      <c r="V134" s="168"/>
      <c r="W134" s="168"/>
      <c r="X134" s="168"/>
      <c r="Y134" s="168"/>
      <c r="Z134" s="168"/>
      <c r="AA134" s="151"/>
      <c r="AB134" s="168"/>
      <c r="AC134" s="168"/>
      <c r="AD134" s="168"/>
      <c r="AE134" s="151"/>
      <c r="AF134" s="168"/>
      <c r="AG134" s="168"/>
      <c r="AH134" s="168"/>
      <c r="AI134" s="168"/>
      <c r="AJ134" s="168"/>
      <c r="AK134" s="168"/>
      <c r="AL134" s="168"/>
      <c r="AM134" s="168"/>
      <c r="AN134" s="168"/>
      <c r="AO134" s="168"/>
      <c r="AP134" s="168"/>
      <c r="AQ134" s="168"/>
      <c r="AR134" s="168"/>
      <c r="AS134" s="168"/>
      <c r="AT134" s="168"/>
      <c r="AU134" s="168"/>
      <c r="AV134" s="168"/>
      <c r="AW134" s="168"/>
      <c r="AX134" s="168"/>
      <c r="AY134" s="168"/>
      <c r="AZ134" s="168"/>
      <c r="BA134" s="168"/>
      <c r="BB134" s="168"/>
      <c r="BC134" s="168"/>
      <c r="BD134" s="168"/>
      <c r="BE134" s="168"/>
      <c r="BF134" s="168"/>
      <c r="BG134" s="168"/>
      <c r="BH134" s="168"/>
      <c r="BI134" s="168"/>
      <c r="BJ134" s="168"/>
      <c r="BK134" s="168"/>
      <c r="BL134" s="168"/>
      <c r="BM134" s="168"/>
      <c r="BN134" s="168"/>
      <c r="BO134" s="168"/>
    </row>
    <row r="135" spans="1:67" s="152" customFormat="1" x14ac:dyDescent="0.35">
      <c r="A135" s="193" t="s">
        <v>64</v>
      </c>
      <c r="B135" s="215">
        <f t="shared" ref="B135" si="186">B134*$X$3</f>
        <v>1823676.3787886102</v>
      </c>
      <c r="C135" s="215">
        <f t="shared" ref="C135" si="187">C134*$X$3</f>
        <v>1823676.3787886102</v>
      </c>
      <c r="D135" s="215">
        <f t="shared" ref="D135" si="188">D134*$X$3</f>
        <v>1801842.2790972136</v>
      </c>
      <c r="E135" s="215">
        <f t="shared" ref="E135" si="189">E134*$X$3</f>
        <v>1801842.2790972136</v>
      </c>
      <c r="F135" s="215">
        <f t="shared" ref="F135" si="190">F134*$X$3</f>
        <v>1801842.2790972136</v>
      </c>
      <c r="G135" s="215">
        <f t="shared" ref="G135" si="191">G134*$X$3</f>
        <v>1801842.2790972136</v>
      </c>
      <c r="H135" s="215">
        <f t="shared" ref="H135" si="192">H134*$X$3</f>
        <v>1801842.2790972136</v>
      </c>
      <c r="I135" s="215">
        <f t="shared" ref="I135" si="193">I134*$X$3</f>
        <v>1801842.2790972136</v>
      </c>
      <c r="J135" s="215">
        <f t="shared" ref="J135" si="194">J134*$X$3</f>
        <v>1801842.2790972136</v>
      </c>
      <c r="K135" s="215">
        <f t="shared" ref="K135" si="195">K134*$X$3</f>
        <v>1801842.2790972136</v>
      </c>
      <c r="L135" s="215">
        <f t="shared" ref="L135" si="196">L134*$X$3</f>
        <v>18062090.990354929</v>
      </c>
      <c r="M135" s="159"/>
      <c r="N135" s="168"/>
      <c r="O135" s="147"/>
      <c r="P135" s="168"/>
      <c r="Q135" s="168"/>
      <c r="R135" s="168"/>
      <c r="S135" s="168"/>
      <c r="T135" s="168"/>
      <c r="U135" s="168"/>
      <c r="V135" s="168"/>
      <c r="W135" s="168"/>
      <c r="X135" s="168"/>
      <c r="Y135" s="168"/>
      <c r="Z135" s="168"/>
      <c r="AA135" s="151"/>
      <c r="AB135" s="168"/>
      <c r="AC135" s="168"/>
      <c r="AD135" s="168"/>
      <c r="AE135" s="151"/>
      <c r="AF135" s="168"/>
      <c r="AG135" s="168"/>
      <c r="AH135" s="168"/>
      <c r="AI135" s="168"/>
      <c r="AJ135" s="168"/>
      <c r="AK135" s="168"/>
      <c r="AL135" s="168"/>
      <c r="AM135" s="168"/>
      <c r="AN135" s="168"/>
      <c r="AO135" s="168"/>
      <c r="AP135" s="168"/>
      <c r="AQ135" s="168"/>
      <c r="AR135" s="168"/>
      <c r="AS135" s="168"/>
      <c r="AT135" s="168"/>
      <c r="AU135" s="168"/>
      <c r="AV135" s="168"/>
      <c r="AW135" s="168"/>
      <c r="AX135" s="168"/>
      <c r="AY135" s="168"/>
      <c r="AZ135" s="168"/>
      <c r="BA135" s="168"/>
      <c r="BB135" s="168"/>
      <c r="BC135" s="168"/>
      <c r="BD135" s="168"/>
      <c r="BE135" s="168"/>
      <c r="BF135" s="168"/>
      <c r="BG135" s="168"/>
      <c r="BH135" s="168"/>
      <c r="BI135" s="168"/>
      <c r="BJ135" s="168"/>
      <c r="BK135" s="168"/>
      <c r="BL135" s="168"/>
      <c r="BM135" s="168"/>
      <c r="BN135" s="168"/>
      <c r="BO135" s="168"/>
    </row>
    <row r="136" spans="1:67" s="152" customFormat="1" x14ac:dyDescent="0.35">
      <c r="A136" s="193"/>
      <c r="B136" s="194"/>
      <c r="C136" s="194"/>
      <c r="D136" s="214"/>
      <c r="E136" s="194"/>
      <c r="F136" s="194"/>
      <c r="G136" s="194"/>
      <c r="H136" s="194"/>
      <c r="I136" s="194"/>
      <c r="J136" s="194"/>
      <c r="K136" s="194"/>
      <c r="L136" s="194"/>
      <c r="M136" s="159"/>
      <c r="N136" s="168"/>
      <c r="O136" s="147"/>
      <c r="P136" s="168"/>
      <c r="Q136" s="168"/>
      <c r="R136" s="168"/>
      <c r="S136" s="168"/>
      <c r="T136" s="168"/>
      <c r="U136" s="168"/>
      <c r="V136" s="168"/>
      <c r="W136" s="168"/>
      <c r="X136" s="168"/>
      <c r="Y136" s="168"/>
      <c r="Z136" s="168"/>
      <c r="AA136" s="151"/>
      <c r="AB136" s="168"/>
      <c r="AC136" s="168"/>
      <c r="AD136" s="168"/>
      <c r="AE136" s="151"/>
      <c r="AF136" s="168"/>
      <c r="AG136" s="168"/>
      <c r="AH136" s="168"/>
      <c r="AI136" s="168"/>
      <c r="AJ136" s="168"/>
      <c r="AK136" s="168"/>
      <c r="AL136" s="168"/>
      <c r="AM136" s="168"/>
      <c r="AN136" s="168"/>
      <c r="AO136" s="168"/>
      <c r="AP136" s="168"/>
      <c r="AQ136" s="168"/>
      <c r="AR136" s="168"/>
      <c r="AS136" s="168"/>
      <c r="AT136" s="168"/>
      <c r="AU136" s="168"/>
      <c r="AV136" s="168"/>
      <c r="AW136" s="168"/>
      <c r="AX136" s="168"/>
      <c r="AY136" s="168"/>
      <c r="AZ136" s="168"/>
      <c r="BA136" s="168"/>
      <c r="BB136" s="168"/>
      <c r="BC136" s="168"/>
      <c r="BD136" s="168"/>
      <c r="BE136" s="168"/>
      <c r="BF136" s="168"/>
      <c r="BG136" s="168"/>
      <c r="BH136" s="168"/>
      <c r="BI136" s="168"/>
      <c r="BJ136" s="168"/>
      <c r="BK136" s="168"/>
      <c r="BL136" s="168"/>
      <c r="BM136" s="168"/>
      <c r="BN136" s="168"/>
      <c r="BO136" s="168"/>
    </row>
    <row r="137" spans="1:67" s="152" customFormat="1" ht="15" thickBot="1" x14ac:dyDescent="0.4">
      <c r="A137" s="197"/>
      <c r="B137" s="198"/>
      <c r="C137" s="198"/>
      <c r="D137" s="216"/>
      <c r="E137" s="198"/>
      <c r="F137" s="198"/>
      <c r="G137" s="198"/>
      <c r="H137" s="198"/>
      <c r="I137" s="198"/>
      <c r="J137" s="198"/>
      <c r="K137" s="198"/>
      <c r="L137" s="198"/>
      <c r="M137" s="159"/>
      <c r="N137" s="168"/>
      <c r="O137" s="147"/>
      <c r="P137" s="168"/>
      <c r="Q137" s="168"/>
      <c r="R137" s="168"/>
      <c r="S137" s="168"/>
      <c r="T137" s="168"/>
      <c r="U137" s="168"/>
      <c r="V137" s="168"/>
      <c r="W137" s="168"/>
      <c r="X137" s="168"/>
      <c r="Y137" s="168"/>
      <c r="Z137" s="168"/>
      <c r="AA137" s="151"/>
      <c r="AB137" s="168"/>
      <c r="AC137" s="168"/>
      <c r="AD137" s="168"/>
      <c r="AE137" s="151"/>
      <c r="AF137" s="168"/>
      <c r="AG137" s="168"/>
      <c r="AH137" s="168"/>
      <c r="AI137" s="168"/>
      <c r="AJ137" s="168"/>
      <c r="AK137" s="168"/>
      <c r="AL137" s="168"/>
      <c r="AM137" s="168"/>
      <c r="AN137" s="168"/>
      <c r="AO137" s="168"/>
      <c r="AP137" s="168"/>
      <c r="AQ137" s="168"/>
      <c r="AR137" s="168"/>
      <c r="AS137" s="168"/>
      <c r="AT137" s="168"/>
      <c r="AU137" s="168"/>
      <c r="AV137" s="168"/>
      <c r="AW137" s="168"/>
      <c r="AX137" s="168"/>
      <c r="AY137" s="168"/>
      <c r="AZ137" s="168"/>
      <c r="BA137" s="168"/>
      <c r="BB137" s="168"/>
      <c r="BC137" s="168"/>
      <c r="BD137" s="168"/>
      <c r="BE137" s="168"/>
      <c r="BF137" s="168"/>
      <c r="BG137" s="168"/>
      <c r="BH137" s="168"/>
      <c r="BI137" s="168"/>
      <c r="BJ137" s="168"/>
      <c r="BK137" s="168"/>
      <c r="BL137" s="168"/>
      <c r="BM137" s="168"/>
      <c r="BN137" s="168"/>
      <c r="BO137" s="168"/>
    </row>
    <row r="138" spans="1:67" s="152" customFormat="1" x14ac:dyDescent="0.35">
      <c r="A138" s="179"/>
      <c r="B138" s="179"/>
      <c r="C138" s="179"/>
      <c r="D138" s="212"/>
      <c r="E138" s="179"/>
      <c r="F138" s="179"/>
      <c r="G138" s="179"/>
      <c r="H138" s="179"/>
      <c r="I138" s="179"/>
      <c r="J138" s="179"/>
      <c r="K138" s="179"/>
      <c r="L138" s="179"/>
      <c r="M138" s="160"/>
      <c r="N138" s="168"/>
      <c r="O138" s="147"/>
      <c r="P138" s="168"/>
      <c r="Q138" s="168"/>
      <c r="R138" s="168"/>
      <c r="S138" s="168"/>
      <c r="T138" s="168"/>
      <c r="U138" s="168"/>
      <c r="V138" s="168"/>
      <c r="W138" s="168"/>
      <c r="X138" s="168"/>
      <c r="Y138" s="168"/>
      <c r="Z138" s="168"/>
      <c r="AA138" s="151"/>
      <c r="AB138" s="168"/>
      <c r="AC138" s="168"/>
      <c r="AD138" s="168"/>
      <c r="AE138" s="151"/>
      <c r="AF138" s="168"/>
      <c r="AG138" s="168"/>
      <c r="AH138" s="168"/>
      <c r="AI138" s="168"/>
      <c r="AJ138" s="168"/>
      <c r="AK138" s="168"/>
      <c r="AL138" s="168"/>
      <c r="AM138" s="168"/>
      <c r="AN138" s="168"/>
      <c r="AO138" s="168"/>
      <c r="AP138" s="168"/>
      <c r="AQ138" s="168"/>
      <c r="AR138" s="168"/>
      <c r="AS138" s="168"/>
      <c r="AT138" s="168"/>
      <c r="AU138" s="168"/>
      <c r="AV138" s="168"/>
      <c r="AW138" s="168"/>
      <c r="AX138" s="168"/>
      <c r="AY138" s="168"/>
      <c r="AZ138" s="168"/>
      <c r="BA138" s="168"/>
      <c r="BB138" s="168"/>
      <c r="BC138" s="168"/>
      <c r="BD138" s="168"/>
      <c r="BE138" s="168"/>
      <c r="BF138" s="168"/>
      <c r="BG138" s="168"/>
      <c r="BH138" s="168"/>
      <c r="BI138" s="168"/>
      <c r="BJ138" s="168"/>
      <c r="BK138" s="168"/>
      <c r="BL138" s="168"/>
      <c r="BM138" s="168"/>
      <c r="BN138" s="168"/>
      <c r="BO138" s="168"/>
    </row>
    <row r="139" spans="1:67" s="152" customFormat="1" x14ac:dyDescent="0.35">
      <c r="A139" s="179"/>
      <c r="B139" s="179"/>
      <c r="C139" s="179"/>
      <c r="D139" s="212"/>
      <c r="E139" s="179"/>
      <c r="F139" s="179"/>
      <c r="G139" s="179"/>
      <c r="H139" s="179"/>
      <c r="I139" s="179"/>
      <c r="J139" s="179"/>
      <c r="K139" s="179"/>
      <c r="L139" s="179"/>
      <c r="M139" s="159"/>
      <c r="N139" s="168"/>
      <c r="O139" s="147"/>
      <c r="P139" s="168"/>
      <c r="Q139" s="168"/>
      <c r="R139" s="168"/>
      <c r="S139" s="168"/>
      <c r="T139" s="168"/>
      <c r="U139" s="168"/>
      <c r="V139" s="168"/>
      <c r="W139" s="168"/>
      <c r="X139" s="168"/>
      <c r="Y139" s="168"/>
      <c r="Z139" s="168"/>
      <c r="AA139" s="151"/>
      <c r="AB139" s="168"/>
      <c r="AC139" s="168"/>
      <c r="AD139" s="168"/>
      <c r="AE139" s="151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68"/>
      <c r="AQ139" s="168"/>
      <c r="AR139" s="168"/>
      <c r="AS139" s="168"/>
      <c r="AT139" s="168"/>
      <c r="AU139" s="168"/>
      <c r="AV139" s="168"/>
      <c r="AW139" s="168"/>
      <c r="AX139" s="168"/>
      <c r="AY139" s="168"/>
      <c r="AZ139" s="168"/>
      <c r="BA139" s="168"/>
      <c r="BB139" s="168"/>
      <c r="BC139" s="168"/>
      <c r="BD139" s="168"/>
      <c r="BE139" s="168"/>
      <c r="BF139" s="168"/>
      <c r="BG139" s="168"/>
      <c r="BH139" s="168"/>
      <c r="BI139" s="168"/>
      <c r="BJ139" s="168"/>
      <c r="BK139" s="168"/>
      <c r="BL139" s="168"/>
      <c r="BM139" s="168"/>
      <c r="BN139" s="168"/>
      <c r="BO139" s="168"/>
    </row>
    <row r="140" spans="1:67" s="152" customFormat="1" x14ac:dyDescent="0.35">
      <c r="A140" s="180" t="s">
        <v>0</v>
      </c>
      <c r="B140" s="182" t="s">
        <v>10</v>
      </c>
      <c r="C140" s="182" t="s">
        <v>11</v>
      </c>
      <c r="D140" s="209" t="s">
        <v>12</v>
      </c>
      <c r="E140" s="182" t="s">
        <v>13</v>
      </c>
      <c r="F140" s="182" t="s">
        <v>14</v>
      </c>
      <c r="G140" s="182" t="s">
        <v>15</v>
      </c>
      <c r="H140" s="182" t="s">
        <v>16</v>
      </c>
      <c r="I140" s="183" t="s">
        <v>17</v>
      </c>
      <c r="J140" s="184" t="s">
        <v>23</v>
      </c>
      <c r="K140" s="184" t="s">
        <v>24</v>
      </c>
      <c r="L140" s="185" t="s">
        <v>18</v>
      </c>
      <c r="M140" s="159"/>
      <c r="N140" s="168"/>
      <c r="O140" s="147"/>
      <c r="P140" s="168"/>
      <c r="Q140" s="168"/>
      <c r="R140" s="168"/>
      <c r="S140" s="168"/>
      <c r="T140" s="168"/>
      <c r="U140" s="168"/>
      <c r="V140" s="168"/>
      <c r="W140" s="168"/>
      <c r="X140" s="168"/>
      <c r="Y140" s="168"/>
      <c r="Z140" s="168"/>
      <c r="AA140" s="151"/>
      <c r="AB140" s="168"/>
      <c r="AC140" s="168"/>
      <c r="AD140" s="168"/>
      <c r="AE140" s="151"/>
      <c r="AF140" s="168"/>
      <c r="AG140" s="168"/>
      <c r="AH140" s="168"/>
      <c r="AI140" s="168"/>
      <c r="AJ140" s="168"/>
      <c r="AK140" s="168"/>
      <c r="AL140" s="168"/>
      <c r="AM140" s="168"/>
      <c r="AN140" s="168"/>
      <c r="AO140" s="168"/>
      <c r="AP140" s="168"/>
      <c r="AQ140" s="168"/>
      <c r="AR140" s="168"/>
      <c r="AS140" s="168"/>
      <c r="AT140" s="168"/>
      <c r="AU140" s="168"/>
      <c r="AV140" s="168"/>
      <c r="AW140" s="168"/>
      <c r="AX140" s="168"/>
      <c r="AY140" s="168"/>
      <c r="AZ140" s="168"/>
      <c r="BA140" s="168"/>
      <c r="BB140" s="168"/>
      <c r="BC140" s="168"/>
      <c r="BD140" s="168"/>
      <c r="BE140" s="168"/>
      <c r="BF140" s="168"/>
      <c r="BG140" s="168"/>
      <c r="BH140" s="168"/>
      <c r="BI140" s="168"/>
      <c r="BJ140" s="168"/>
      <c r="BK140" s="168"/>
      <c r="BL140" s="168"/>
      <c r="BM140" s="168"/>
      <c r="BN140" s="168"/>
      <c r="BO140" s="168"/>
    </row>
    <row r="141" spans="1:67" s="152" customFormat="1" x14ac:dyDescent="0.35">
      <c r="A141" s="154" t="s">
        <v>35</v>
      </c>
      <c r="B141" s="199">
        <v>1126</v>
      </c>
      <c r="C141" s="199">
        <v>1126</v>
      </c>
      <c r="D141" s="217">
        <v>1126</v>
      </c>
      <c r="E141" s="199">
        <v>1126</v>
      </c>
      <c r="F141" s="199">
        <v>1126</v>
      </c>
      <c r="G141" s="199">
        <v>1126</v>
      </c>
      <c r="H141" s="199">
        <v>1126</v>
      </c>
      <c r="I141" s="199">
        <v>1126</v>
      </c>
      <c r="J141" s="199">
        <v>1126</v>
      </c>
      <c r="K141" s="199">
        <v>1126</v>
      </c>
      <c r="L141" s="200">
        <f>SUM(B141:K141)</f>
        <v>11260</v>
      </c>
      <c r="M141" s="159"/>
      <c r="N141" s="168"/>
      <c r="O141" s="147"/>
      <c r="P141" s="168"/>
      <c r="Q141" s="168"/>
      <c r="R141" s="168"/>
      <c r="S141" s="168"/>
      <c r="T141" s="168"/>
      <c r="U141" s="168"/>
      <c r="V141" s="168"/>
      <c r="W141" s="168"/>
      <c r="X141" s="168"/>
      <c r="Y141" s="168"/>
      <c r="Z141" s="168"/>
      <c r="AA141" s="151"/>
      <c r="AB141" s="168"/>
      <c r="AC141" s="168"/>
      <c r="AD141" s="168"/>
      <c r="AE141" s="151"/>
      <c r="AF141" s="168"/>
      <c r="AG141" s="168"/>
      <c r="AH141" s="168"/>
      <c r="AI141" s="168"/>
      <c r="AJ141" s="168"/>
      <c r="AK141" s="168"/>
      <c r="AL141" s="168"/>
      <c r="AM141" s="168"/>
      <c r="AN141" s="168"/>
      <c r="AO141" s="168"/>
      <c r="AP141" s="168"/>
      <c r="AQ141" s="168"/>
      <c r="AR141" s="168"/>
      <c r="AS141" s="168"/>
      <c r="AT141" s="168"/>
      <c r="AU141" s="168"/>
      <c r="AV141" s="168"/>
      <c r="AW141" s="168"/>
      <c r="AX141" s="168"/>
      <c r="AY141" s="168"/>
      <c r="AZ141" s="168"/>
      <c r="BA141" s="168"/>
      <c r="BB141" s="168"/>
      <c r="BC141" s="168"/>
      <c r="BD141" s="168"/>
      <c r="BE141" s="168"/>
      <c r="BF141" s="168"/>
      <c r="BG141" s="168"/>
      <c r="BH141" s="168"/>
      <c r="BI141" s="168"/>
      <c r="BJ141" s="168"/>
      <c r="BK141" s="168"/>
      <c r="BL141" s="168"/>
      <c r="BM141" s="168"/>
      <c r="BN141" s="168"/>
      <c r="BO141" s="168"/>
    </row>
    <row r="142" spans="1:67" s="158" customFormat="1" x14ac:dyDescent="0.35">
      <c r="A142" s="187" t="s">
        <v>20</v>
      </c>
      <c r="B142" s="201">
        <f>'housing proportion projections'!L51</f>
        <v>287.76509741385291</v>
      </c>
      <c r="C142" s="201">
        <f>'housing proportion projections'!M51</f>
        <v>287.76509741385291</v>
      </c>
      <c r="D142" s="201">
        <f>'housing proportion projections'!N51</f>
        <v>287.76509741385291</v>
      </c>
      <c r="E142" s="201">
        <f>'housing proportion projections'!O51</f>
        <v>287.76509741385291</v>
      </c>
      <c r="F142" s="201">
        <f>'housing proportion projections'!P51</f>
        <v>287.76509741385291</v>
      </c>
      <c r="G142" s="201">
        <f>'housing proportion projections'!Q51</f>
        <v>287.76509741385291</v>
      </c>
      <c r="H142" s="201">
        <f>'housing proportion projections'!R51</f>
        <v>287.76509741385291</v>
      </c>
      <c r="I142" s="201">
        <f>'housing proportion projections'!S51</f>
        <v>287.76509741385291</v>
      </c>
      <c r="J142" s="201">
        <f>'housing proportion projections'!T51</f>
        <v>287.76509741385291</v>
      </c>
      <c r="K142" s="201">
        <f>'housing proportion projections'!U51</f>
        <v>287.76509741385291</v>
      </c>
      <c r="L142" s="200">
        <f t="shared" ref="L142:L145" si="197">SUM(B142:K142)</f>
        <v>2877.6509741385285</v>
      </c>
      <c r="M142" s="167"/>
      <c r="N142" s="168"/>
      <c r="O142" s="147"/>
      <c r="P142" s="168"/>
      <c r="Q142" s="168"/>
      <c r="R142" s="168"/>
      <c r="S142" s="168"/>
      <c r="T142" s="168"/>
      <c r="U142" s="168"/>
      <c r="V142" s="168"/>
      <c r="W142" s="168"/>
      <c r="X142" s="168"/>
      <c r="Y142" s="168"/>
      <c r="Z142" s="168"/>
      <c r="AA142" s="151"/>
      <c r="AB142" s="168"/>
      <c r="AC142" s="168"/>
      <c r="AD142" s="168"/>
      <c r="AE142" s="151"/>
      <c r="AF142" s="168"/>
      <c r="AG142" s="168"/>
      <c r="AH142" s="168"/>
      <c r="AI142" s="168"/>
      <c r="AJ142" s="168"/>
      <c r="AK142" s="168"/>
      <c r="AL142" s="168"/>
      <c r="AM142" s="168"/>
      <c r="AN142" s="168"/>
      <c r="AO142" s="168"/>
      <c r="AP142" s="168"/>
      <c r="AQ142" s="168"/>
      <c r="AR142" s="168"/>
      <c r="AS142" s="168"/>
      <c r="AT142" s="168"/>
      <c r="AU142" s="168"/>
      <c r="AV142" s="168"/>
      <c r="AW142" s="168"/>
      <c r="AX142" s="168"/>
      <c r="AY142" s="168"/>
      <c r="AZ142" s="168"/>
      <c r="BA142" s="168"/>
      <c r="BB142" s="168"/>
      <c r="BC142" s="168"/>
      <c r="BD142" s="168"/>
      <c r="BE142" s="168"/>
      <c r="BF142" s="168"/>
      <c r="BG142" s="168"/>
      <c r="BH142" s="168"/>
      <c r="BI142" s="168"/>
      <c r="BJ142" s="168"/>
      <c r="BK142" s="168"/>
      <c r="BL142" s="168"/>
      <c r="BM142" s="168"/>
      <c r="BN142" s="168"/>
      <c r="BO142" s="168"/>
    </row>
    <row r="143" spans="1:67" s="152" customFormat="1" ht="15" thickBot="1" x14ac:dyDescent="0.4">
      <c r="A143" s="187" t="s">
        <v>21</v>
      </c>
      <c r="B143" s="201">
        <f>'housing proportion projections'!L52</f>
        <v>403.93288497538651</v>
      </c>
      <c r="C143" s="201">
        <f>'housing proportion projections'!M52</f>
        <v>403.93288497538651</v>
      </c>
      <c r="D143" s="201">
        <f>'housing proportion projections'!N52</f>
        <v>403.93288497538651</v>
      </c>
      <c r="E143" s="201">
        <f>'housing proportion projections'!O52</f>
        <v>403.93288497538651</v>
      </c>
      <c r="F143" s="201">
        <f>'housing proportion projections'!P52</f>
        <v>403.93288497538651</v>
      </c>
      <c r="G143" s="201">
        <f>'housing proportion projections'!Q52</f>
        <v>403.93288497538651</v>
      </c>
      <c r="H143" s="201">
        <f>'housing proportion projections'!R52</f>
        <v>403.93288497538651</v>
      </c>
      <c r="I143" s="201">
        <f>'housing proportion projections'!S52</f>
        <v>403.93288497538651</v>
      </c>
      <c r="J143" s="201">
        <f>'housing proportion projections'!T52</f>
        <v>403.93288497538651</v>
      </c>
      <c r="K143" s="201">
        <f>'housing proportion projections'!U52</f>
        <v>403.93288497538651</v>
      </c>
      <c r="L143" s="200">
        <f t="shared" si="197"/>
        <v>4039.3288497538651</v>
      </c>
      <c r="M143" s="159"/>
      <c r="N143" s="168"/>
      <c r="O143" s="147"/>
      <c r="P143" s="168"/>
      <c r="Q143" s="168"/>
      <c r="R143" s="168"/>
      <c r="S143" s="168"/>
      <c r="T143" s="168"/>
      <c r="U143" s="168"/>
      <c r="V143" s="168"/>
      <c r="W143" s="168"/>
      <c r="X143" s="168"/>
      <c r="Y143" s="168"/>
      <c r="Z143" s="168"/>
      <c r="AA143" s="151"/>
      <c r="AB143" s="168"/>
      <c r="AC143" s="168"/>
      <c r="AD143" s="168"/>
      <c r="AE143" s="151"/>
      <c r="AF143" s="168"/>
      <c r="AG143" s="168"/>
      <c r="AH143" s="168"/>
      <c r="AI143" s="168"/>
      <c r="AJ143" s="168"/>
      <c r="AK143" s="168"/>
      <c r="AL143" s="168"/>
      <c r="AM143" s="168"/>
      <c r="AN143" s="168"/>
      <c r="AO143" s="168"/>
      <c r="AP143" s="168"/>
      <c r="AQ143" s="168"/>
      <c r="AR143" s="168"/>
      <c r="AS143" s="168"/>
      <c r="AT143" s="168"/>
      <c r="AU143" s="168"/>
      <c r="AV143" s="168"/>
      <c r="AW143" s="168"/>
      <c r="AX143" s="168"/>
      <c r="AY143" s="168"/>
      <c r="AZ143" s="168"/>
      <c r="BA143" s="168"/>
      <c r="BB143" s="168"/>
      <c r="BC143" s="168"/>
      <c r="BD143" s="168"/>
      <c r="BE143" s="168"/>
      <c r="BF143" s="168"/>
      <c r="BG143" s="168"/>
      <c r="BH143" s="168"/>
      <c r="BI143" s="168"/>
      <c r="BJ143" s="168"/>
      <c r="BK143" s="168"/>
      <c r="BL143" s="168"/>
      <c r="BM143" s="168"/>
      <c r="BN143" s="168"/>
      <c r="BO143" s="168"/>
    </row>
    <row r="144" spans="1:67" s="156" customFormat="1" x14ac:dyDescent="0.35">
      <c r="A144" s="187" t="s">
        <v>26</v>
      </c>
      <c r="B144" s="201">
        <f>'housing proportion projections'!L53</f>
        <v>325.62892602093882</v>
      </c>
      <c r="C144" s="201">
        <f>'housing proportion projections'!M53</f>
        <v>325.62892602093882</v>
      </c>
      <c r="D144" s="201">
        <f>'housing proportion projections'!N53</f>
        <v>325.62892602093882</v>
      </c>
      <c r="E144" s="201">
        <f>'housing proportion projections'!O53</f>
        <v>325.62892602093882</v>
      </c>
      <c r="F144" s="201">
        <f>'housing proportion projections'!P53</f>
        <v>325.62892602093882</v>
      </c>
      <c r="G144" s="201">
        <f>'housing proportion projections'!Q53</f>
        <v>325.62892602093882</v>
      </c>
      <c r="H144" s="201">
        <f>'housing proportion projections'!R53</f>
        <v>325.62892602093882</v>
      </c>
      <c r="I144" s="201">
        <f>'housing proportion projections'!S53</f>
        <v>325.62892602093882</v>
      </c>
      <c r="J144" s="201">
        <f>'housing proportion projections'!T53</f>
        <v>325.62892602093882</v>
      </c>
      <c r="K144" s="201">
        <f>'housing proportion projections'!U53</f>
        <v>325.62892602093882</v>
      </c>
      <c r="L144" s="200">
        <f t="shared" si="197"/>
        <v>3256.2892602093875</v>
      </c>
      <c r="M144" s="161"/>
      <c r="N144" s="168"/>
      <c r="O144" s="147"/>
      <c r="P144" s="168"/>
      <c r="Q144" s="168"/>
      <c r="R144" s="168"/>
      <c r="S144" s="168"/>
      <c r="T144" s="168"/>
      <c r="U144" s="168"/>
      <c r="V144" s="168"/>
      <c r="W144" s="168"/>
      <c r="X144" s="168"/>
      <c r="Y144" s="168"/>
      <c r="Z144" s="168"/>
      <c r="AA144" s="151"/>
      <c r="AB144" s="168"/>
      <c r="AC144" s="168"/>
      <c r="AD144" s="168"/>
      <c r="AE144" s="151"/>
      <c r="AF144" s="168"/>
      <c r="AG144" s="168"/>
      <c r="AH144" s="168"/>
      <c r="AI144" s="168"/>
      <c r="AJ144" s="168"/>
      <c r="AK144" s="168"/>
      <c r="AL144" s="168"/>
      <c r="AM144" s="168"/>
      <c r="AN144" s="168"/>
      <c r="AO144" s="168"/>
      <c r="AP144" s="168"/>
      <c r="AQ144" s="168"/>
      <c r="AR144" s="168"/>
      <c r="AS144" s="168"/>
      <c r="AT144" s="168"/>
      <c r="AU144" s="168"/>
      <c r="AV144" s="168"/>
      <c r="AW144" s="168"/>
      <c r="AX144" s="168"/>
      <c r="AY144" s="168"/>
      <c r="AZ144" s="168"/>
      <c r="BA144" s="168"/>
      <c r="BB144" s="168"/>
      <c r="BC144" s="168"/>
      <c r="BD144" s="168"/>
      <c r="BE144" s="168"/>
      <c r="BF144" s="168"/>
      <c r="BG144" s="168"/>
      <c r="BH144" s="168"/>
      <c r="BI144" s="168"/>
      <c r="BJ144" s="168"/>
      <c r="BK144" s="168"/>
      <c r="BL144" s="168"/>
      <c r="BM144" s="168"/>
      <c r="BN144" s="168"/>
      <c r="BO144" s="168"/>
    </row>
    <row r="145" spans="1:67" s="155" customFormat="1" x14ac:dyDescent="0.35">
      <c r="A145" s="190" t="s">
        <v>22</v>
      </c>
      <c r="B145" s="201">
        <f>'housing proportion projections'!L54</f>
        <v>108.67309158982181</v>
      </c>
      <c r="C145" s="201">
        <f>'housing proportion projections'!M54</f>
        <v>108.67309158982181</v>
      </c>
      <c r="D145" s="201">
        <f>'housing proportion projections'!N54</f>
        <v>108.67309158982181</v>
      </c>
      <c r="E145" s="201">
        <f>'housing proportion projections'!O54</f>
        <v>108.67309158982181</v>
      </c>
      <c r="F145" s="201">
        <f>'housing proportion projections'!P54</f>
        <v>108.67309158982181</v>
      </c>
      <c r="G145" s="201">
        <f>'housing proportion projections'!Q54</f>
        <v>108.67309158982181</v>
      </c>
      <c r="H145" s="201">
        <f>'housing proportion projections'!R54</f>
        <v>108.67309158982181</v>
      </c>
      <c r="I145" s="201">
        <f>'housing proportion projections'!S54</f>
        <v>108.67309158982181</v>
      </c>
      <c r="J145" s="201">
        <f>'housing proportion projections'!T54</f>
        <v>108.67309158982181</v>
      </c>
      <c r="K145" s="201">
        <f>'housing proportion projections'!U54</f>
        <v>108.67309158982181</v>
      </c>
      <c r="L145" s="200">
        <f t="shared" si="197"/>
        <v>1086.7309158982177</v>
      </c>
      <c r="M145" s="162"/>
      <c r="N145" s="168"/>
      <c r="O145" s="147"/>
      <c r="P145" s="168"/>
      <c r="Q145" s="168"/>
      <c r="R145" s="168"/>
      <c r="S145" s="168"/>
      <c r="T145" s="168"/>
      <c r="U145" s="168"/>
      <c r="V145" s="168"/>
      <c r="W145" s="168"/>
      <c r="X145" s="168"/>
      <c r="Y145" s="168"/>
      <c r="Z145" s="168"/>
      <c r="AA145" s="151"/>
      <c r="AB145" s="168"/>
      <c r="AC145" s="168"/>
      <c r="AD145" s="168"/>
      <c r="AE145" s="151"/>
      <c r="AF145" s="168"/>
      <c r="AG145" s="168"/>
      <c r="AH145" s="168"/>
      <c r="AI145" s="168"/>
      <c r="AJ145" s="168"/>
      <c r="AK145" s="168"/>
      <c r="AL145" s="168"/>
      <c r="AM145" s="168"/>
      <c r="AN145" s="168"/>
      <c r="AO145" s="168"/>
      <c r="AP145" s="168"/>
      <c r="AQ145" s="168"/>
      <c r="AR145" s="168"/>
      <c r="AS145" s="168"/>
      <c r="AT145" s="168"/>
      <c r="AU145" s="168"/>
      <c r="AV145" s="168"/>
      <c r="AW145" s="168"/>
      <c r="AX145" s="168"/>
      <c r="AY145" s="168"/>
      <c r="AZ145" s="168"/>
      <c r="BA145" s="168"/>
      <c r="BB145" s="168"/>
      <c r="BC145" s="168"/>
      <c r="BD145" s="168"/>
      <c r="BE145" s="168"/>
      <c r="BF145" s="168"/>
      <c r="BG145" s="168"/>
      <c r="BH145" s="168"/>
      <c r="BI145" s="168"/>
      <c r="BJ145" s="168"/>
      <c r="BK145" s="168"/>
      <c r="BL145" s="168"/>
      <c r="BM145" s="168"/>
      <c r="BN145" s="168"/>
      <c r="BO145" s="168"/>
    </row>
    <row r="146" spans="1:67" s="155" customFormat="1" ht="15" thickBot="1" x14ac:dyDescent="0.4">
      <c r="A146" s="179"/>
      <c r="B146" s="179"/>
      <c r="C146" s="179"/>
      <c r="D146" s="212"/>
      <c r="E146" s="179"/>
      <c r="F146" s="179"/>
      <c r="G146" s="179"/>
      <c r="H146" s="179"/>
      <c r="I146" s="179"/>
      <c r="J146" s="179"/>
      <c r="K146" s="179"/>
      <c r="L146" s="179"/>
      <c r="M146" s="163"/>
      <c r="N146" s="168"/>
      <c r="O146" s="147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  <c r="AA146" s="151"/>
      <c r="AB146" s="168"/>
      <c r="AC146" s="168"/>
      <c r="AD146" s="168"/>
      <c r="AE146" s="151"/>
      <c r="AF146" s="168"/>
      <c r="AG146" s="168"/>
      <c r="AH146" s="168"/>
      <c r="AI146" s="168"/>
      <c r="AJ146" s="168"/>
      <c r="AK146" s="168"/>
      <c r="AL146" s="168"/>
      <c r="AM146" s="168"/>
      <c r="AN146" s="168"/>
      <c r="AO146" s="168"/>
      <c r="AP146" s="168"/>
      <c r="AQ146" s="168"/>
      <c r="AR146" s="168"/>
      <c r="AS146" s="168"/>
      <c r="AT146" s="168"/>
      <c r="AU146" s="168"/>
      <c r="AV146" s="168"/>
      <c r="AW146" s="168"/>
      <c r="AX146" s="168"/>
      <c r="AY146" s="168"/>
      <c r="AZ146" s="168"/>
      <c r="BA146" s="168"/>
      <c r="BB146" s="168"/>
      <c r="BC146" s="168"/>
      <c r="BD146" s="168"/>
      <c r="BE146" s="168"/>
      <c r="BF146" s="168"/>
      <c r="BG146" s="168"/>
      <c r="BH146" s="168"/>
      <c r="BI146" s="168"/>
      <c r="BJ146" s="168"/>
      <c r="BK146" s="168"/>
      <c r="BL146" s="168"/>
      <c r="BM146" s="168"/>
      <c r="BN146" s="168"/>
      <c r="BO146" s="168"/>
    </row>
    <row r="147" spans="1:67" s="155" customFormat="1" x14ac:dyDescent="0.35">
      <c r="A147" s="191" t="s">
        <v>134</v>
      </c>
      <c r="B147" s="192"/>
      <c r="C147" s="192"/>
      <c r="D147" s="213"/>
      <c r="E147" s="192"/>
      <c r="F147" s="192"/>
      <c r="G147" s="192"/>
      <c r="H147" s="192"/>
      <c r="I147" s="192"/>
      <c r="J147" s="192"/>
      <c r="K147" s="192"/>
      <c r="L147" s="192"/>
      <c r="M147" s="162"/>
      <c r="N147" s="168"/>
      <c r="O147" s="147"/>
      <c r="P147" s="168"/>
      <c r="Q147" s="168"/>
      <c r="R147" s="168"/>
      <c r="S147" s="168"/>
      <c r="T147" s="168"/>
      <c r="U147" s="168"/>
      <c r="V147" s="168"/>
      <c r="W147" s="168"/>
      <c r="X147" s="168"/>
      <c r="Y147" s="168"/>
      <c r="Z147" s="168"/>
      <c r="AA147" s="151"/>
      <c r="AB147" s="168"/>
      <c r="AC147" s="168"/>
      <c r="AD147" s="168"/>
      <c r="AE147" s="151"/>
      <c r="AF147" s="168"/>
      <c r="AG147" s="168"/>
      <c r="AH147" s="168"/>
      <c r="AI147" s="168"/>
      <c r="AJ147" s="168"/>
      <c r="AK147" s="168"/>
      <c r="AL147" s="168"/>
      <c r="AM147" s="168"/>
      <c r="AN147" s="168"/>
      <c r="AO147" s="168"/>
      <c r="AP147" s="168"/>
      <c r="AQ147" s="168"/>
      <c r="AR147" s="168"/>
      <c r="AS147" s="168"/>
      <c r="AT147" s="168"/>
      <c r="AU147" s="168"/>
      <c r="AV147" s="168"/>
      <c r="AW147" s="168"/>
      <c r="AX147" s="168"/>
      <c r="AY147" s="168"/>
      <c r="AZ147" s="168"/>
      <c r="BA147" s="168"/>
      <c r="BB147" s="168"/>
      <c r="BC147" s="168"/>
      <c r="BD147" s="168"/>
      <c r="BE147" s="168"/>
      <c r="BF147" s="168"/>
      <c r="BG147" s="168"/>
      <c r="BH147" s="168"/>
      <c r="BI147" s="168"/>
      <c r="BJ147" s="168"/>
      <c r="BK147" s="168"/>
      <c r="BL147" s="168"/>
      <c r="BM147" s="168"/>
      <c r="BN147" s="168"/>
      <c r="BO147" s="168"/>
    </row>
    <row r="148" spans="1:67" s="157" customFormat="1" ht="15" thickBot="1" x14ac:dyDescent="0.4">
      <c r="A148" s="193" t="s">
        <v>112</v>
      </c>
      <c r="B148" s="214">
        <f>((B142*$AB$27)+(B143*$AB$28)+(B144*$AB$29)+(B145*$AB$30))*30</f>
        <v>9309115.6742326319</v>
      </c>
      <c r="C148" s="214">
        <f>((C142*$AB$27)+(C143*$AB$28)+(C144*$AB$29)+(C145*$AB$30))*30</f>
        <v>9309115.6742326319</v>
      </c>
      <c r="D148" s="214">
        <f>((D142*$AF$27)+(D143*$AF$28)+(D144*$AF$29)+(D145*$AF$30))*30</f>
        <v>9200727.770659348</v>
      </c>
      <c r="E148" s="214">
        <f>((E142*$AF$27)+(E143*$AF$28)+(E144*$AF$29)+(E145*$AF$30))*30</f>
        <v>9200727.770659348</v>
      </c>
      <c r="F148" s="214">
        <f t="shared" ref="F148:K148" si="198">((F142*$AF$27)+(F143*$AF$28)+(F144*$AF$29)+(F145*$AF$30))*30</f>
        <v>9200727.770659348</v>
      </c>
      <c r="G148" s="214">
        <f t="shared" si="198"/>
        <v>9200727.770659348</v>
      </c>
      <c r="H148" s="214">
        <f t="shared" si="198"/>
        <v>9200727.770659348</v>
      </c>
      <c r="I148" s="214">
        <f t="shared" si="198"/>
        <v>9200727.770659348</v>
      </c>
      <c r="J148" s="214">
        <f t="shared" si="198"/>
        <v>9200727.770659348</v>
      </c>
      <c r="K148" s="214">
        <f t="shared" si="198"/>
        <v>9200727.770659348</v>
      </c>
      <c r="L148" s="214">
        <f>SUM(B148:K148)</f>
        <v>92224053.513740048</v>
      </c>
      <c r="M148" s="164"/>
      <c r="N148" s="168"/>
      <c r="O148" s="147"/>
      <c r="P148" s="168"/>
      <c r="Q148" s="168"/>
      <c r="R148" s="168"/>
      <c r="S148" s="168"/>
      <c r="T148" s="168"/>
      <c r="U148" s="168"/>
      <c r="V148" s="168"/>
      <c r="W148" s="168"/>
      <c r="X148" s="168"/>
      <c r="Y148" s="168"/>
      <c r="Z148" s="168"/>
      <c r="AA148" s="151"/>
      <c r="AB148" s="168"/>
      <c r="AC148" s="168"/>
      <c r="AD148" s="168"/>
      <c r="AE148" s="151"/>
      <c r="AF148" s="168"/>
      <c r="AG148" s="168"/>
      <c r="AH148" s="168"/>
      <c r="AI148" s="168"/>
      <c r="AJ148" s="168"/>
      <c r="AK148" s="168"/>
      <c r="AL148" s="168"/>
      <c r="AM148" s="168"/>
      <c r="AN148" s="168"/>
      <c r="AO148" s="168"/>
      <c r="AP148" s="168"/>
      <c r="AQ148" s="168"/>
      <c r="AR148" s="168"/>
      <c r="AS148" s="168"/>
      <c r="AT148" s="168"/>
      <c r="AU148" s="168"/>
      <c r="AV148" s="168"/>
      <c r="AW148" s="168"/>
      <c r="AX148" s="168"/>
      <c r="AY148" s="168"/>
      <c r="AZ148" s="168"/>
      <c r="BA148" s="168"/>
      <c r="BB148" s="168"/>
      <c r="BC148" s="168"/>
      <c r="BD148" s="168"/>
      <c r="BE148" s="168"/>
      <c r="BF148" s="168"/>
      <c r="BG148" s="168"/>
      <c r="BH148" s="168"/>
      <c r="BI148" s="168"/>
      <c r="BJ148" s="168"/>
      <c r="BK148" s="168"/>
      <c r="BL148" s="168"/>
      <c r="BM148" s="168"/>
      <c r="BN148" s="168"/>
      <c r="BO148" s="168"/>
    </row>
    <row r="149" spans="1:67" s="157" customFormat="1" ht="15" customHeight="1" thickBot="1" x14ac:dyDescent="0.4">
      <c r="A149" s="193" t="s">
        <v>113</v>
      </c>
      <c r="B149" s="214">
        <f t="shared" ref="B149" si="199">B148/1000</f>
        <v>9309.1156742326311</v>
      </c>
      <c r="C149" s="214">
        <f t="shared" ref="C149" si="200">C148/1000</f>
        <v>9309.1156742326311</v>
      </c>
      <c r="D149" s="214">
        <f t="shared" ref="D149" si="201">D148/1000</f>
        <v>9200.7277706593486</v>
      </c>
      <c r="E149" s="214">
        <f t="shared" ref="E149" si="202">E148/1000</f>
        <v>9200.7277706593486</v>
      </c>
      <c r="F149" s="214">
        <f t="shared" ref="F149" si="203">F148/1000</f>
        <v>9200.7277706593486</v>
      </c>
      <c r="G149" s="214">
        <f t="shared" ref="G149" si="204">G148/1000</f>
        <v>9200.7277706593486</v>
      </c>
      <c r="H149" s="214">
        <f t="shared" ref="H149" si="205">H148/1000</f>
        <v>9200.7277706593486</v>
      </c>
      <c r="I149" s="214">
        <f t="shared" ref="I149" si="206">I148/1000</f>
        <v>9200.7277706593486</v>
      </c>
      <c r="J149" s="214">
        <f t="shared" ref="J149" si="207">J148/1000</f>
        <v>9200.7277706593486</v>
      </c>
      <c r="K149" s="214">
        <f t="shared" ref="K149" si="208">K148/1000</f>
        <v>9200.7277706593486</v>
      </c>
      <c r="L149" s="214">
        <f t="shared" ref="L149" si="209">L148/1000</f>
        <v>92224.053513740044</v>
      </c>
      <c r="M149" s="164"/>
      <c r="N149" s="168"/>
      <c r="O149" s="147"/>
      <c r="P149" s="168"/>
      <c r="Q149" s="168"/>
      <c r="R149" s="168"/>
      <c r="S149" s="168"/>
      <c r="T149" s="168"/>
      <c r="U149" s="168"/>
      <c r="V149" s="168"/>
      <c r="W149" s="168"/>
      <c r="X149" s="168"/>
      <c r="Y149" s="168"/>
      <c r="Z149" s="168"/>
      <c r="AA149" s="151"/>
      <c r="AB149" s="168"/>
      <c r="AC149" s="168"/>
      <c r="AD149" s="168"/>
      <c r="AE149" s="151"/>
      <c r="AF149" s="168"/>
      <c r="AG149" s="168"/>
      <c r="AH149" s="168"/>
      <c r="AI149" s="168"/>
      <c r="AJ149" s="168"/>
      <c r="AK149" s="168"/>
      <c r="AL149" s="168"/>
      <c r="AM149" s="168"/>
      <c r="AN149" s="168"/>
      <c r="AO149" s="168"/>
      <c r="AP149" s="168"/>
      <c r="AQ149" s="168"/>
      <c r="AR149" s="168"/>
      <c r="AS149" s="168"/>
      <c r="AT149" s="168"/>
      <c r="AU149" s="168"/>
      <c r="AV149" s="168"/>
      <c r="AW149" s="168"/>
      <c r="AX149" s="168"/>
      <c r="AY149" s="168"/>
      <c r="AZ149" s="168"/>
      <c r="BA149" s="168"/>
      <c r="BB149" s="168"/>
      <c r="BC149" s="168"/>
      <c r="BD149" s="168"/>
      <c r="BE149" s="168"/>
      <c r="BF149" s="168"/>
      <c r="BG149" s="168"/>
      <c r="BH149" s="168"/>
      <c r="BI149" s="168"/>
      <c r="BJ149" s="168"/>
      <c r="BK149" s="168"/>
      <c r="BL149" s="168"/>
      <c r="BM149" s="168"/>
      <c r="BN149" s="168"/>
      <c r="BO149" s="168"/>
    </row>
    <row r="150" spans="1:67" s="152" customFormat="1" x14ac:dyDescent="0.35">
      <c r="A150" s="193" t="s">
        <v>64</v>
      </c>
      <c r="B150" s="215">
        <f t="shared" ref="B150" si="210">B149*$X$3</f>
        <v>2178333.0677704355</v>
      </c>
      <c r="C150" s="215">
        <f t="shared" ref="C150" si="211">C149*$X$3</f>
        <v>2178333.0677704355</v>
      </c>
      <c r="D150" s="215">
        <f t="shared" ref="D150" si="212">D149*$X$3</f>
        <v>2152970.2983342875</v>
      </c>
      <c r="E150" s="215">
        <f t="shared" ref="E150" si="213">E149*$X$3</f>
        <v>2152970.2983342875</v>
      </c>
      <c r="F150" s="215">
        <f t="shared" ref="F150" si="214">F149*$X$3</f>
        <v>2152970.2983342875</v>
      </c>
      <c r="G150" s="215">
        <f t="shared" ref="G150" si="215">G149*$X$3</f>
        <v>2152970.2983342875</v>
      </c>
      <c r="H150" s="215">
        <f t="shared" ref="H150" si="216">H149*$X$3</f>
        <v>2152970.2983342875</v>
      </c>
      <c r="I150" s="215">
        <f t="shared" ref="I150" si="217">I149*$X$3</f>
        <v>2152970.2983342875</v>
      </c>
      <c r="J150" s="215">
        <f t="shared" ref="J150" si="218">J149*$X$3</f>
        <v>2152970.2983342875</v>
      </c>
      <c r="K150" s="215">
        <f t="shared" ref="K150" si="219">K149*$X$3</f>
        <v>2152970.2983342875</v>
      </c>
      <c r="L150" s="215">
        <f t="shared" ref="L150" si="220">L149*$X$3</f>
        <v>21580428.522215169</v>
      </c>
      <c r="M150" s="159"/>
      <c r="N150" s="168"/>
      <c r="O150" s="147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A150" s="151"/>
      <c r="AB150" s="168"/>
      <c r="AC150" s="168"/>
      <c r="AD150" s="168"/>
      <c r="AE150" s="151"/>
      <c r="AF150" s="168"/>
      <c r="AG150" s="168"/>
      <c r="AH150" s="168"/>
      <c r="AI150" s="168"/>
      <c r="AJ150" s="168"/>
      <c r="AK150" s="168"/>
      <c r="AL150" s="168"/>
      <c r="AM150" s="168"/>
      <c r="AN150" s="168"/>
      <c r="AO150" s="168"/>
      <c r="AP150" s="168"/>
      <c r="AQ150" s="168"/>
      <c r="AR150" s="168"/>
      <c r="AS150" s="168"/>
      <c r="AT150" s="168"/>
      <c r="AU150" s="168"/>
      <c r="AV150" s="168"/>
      <c r="AW150" s="168"/>
      <c r="AX150" s="168"/>
      <c r="AY150" s="168"/>
      <c r="AZ150" s="168"/>
      <c r="BA150" s="168"/>
      <c r="BB150" s="168"/>
      <c r="BC150" s="168"/>
      <c r="BD150" s="168"/>
      <c r="BE150" s="168"/>
      <c r="BF150" s="168"/>
      <c r="BG150" s="168"/>
      <c r="BH150" s="168"/>
      <c r="BI150" s="168"/>
      <c r="BJ150" s="168"/>
      <c r="BK150" s="168"/>
      <c r="BL150" s="168"/>
      <c r="BM150" s="168"/>
      <c r="BN150" s="168"/>
      <c r="BO150" s="168"/>
    </row>
    <row r="151" spans="1:67" s="152" customFormat="1" x14ac:dyDescent="0.35">
      <c r="A151" s="193"/>
      <c r="B151" s="194"/>
      <c r="C151" s="194"/>
      <c r="D151" s="214"/>
      <c r="E151" s="194"/>
      <c r="F151" s="194"/>
      <c r="G151" s="194"/>
      <c r="H151" s="194"/>
      <c r="I151" s="194"/>
      <c r="J151" s="194"/>
      <c r="K151" s="194"/>
      <c r="L151" s="194"/>
      <c r="M151" s="159"/>
      <c r="N151" s="168"/>
      <c r="O151" s="147"/>
      <c r="P151" s="168"/>
      <c r="Q151" s="168"/>
      <c r="R151" s="168"/>
      <c r="S151" s="168"/>
      <c r="T151" s="168"/>
      <c r="U151" s="168"/>
      <c r="V151" s="168"/>
      <c r="W151" s="168"/>
      <c r="X151" s="168"/>
      <c r="Y151" s="168"/>
      <c r="Z151" s="168"/>
      <c r="AA151" s="151"/>
      <c r="AB151" s="168"/>
      <c r="AC151" s="168"/>
      <c r="AD151" s="168"/>
      <c r="AE151" s="151"/>
      <c r="AF151" s="168"/>
      <c r="AG151" s="168"/>
      <c r="AH151" s="168"/>
      <c r="AI151" s="168"/>
      <c r="AJ151" s="168"/>
      <c r="AK151" s="168"/>
      <c r="AL151" s="168"/>
      <c r="AM151" s="168"/>
      <c r="AN151" s="168"/>
      <c r="AO151" s="168"/>
      <c r="AP151" s="168"/>
      <c r="AQ151" s="168"/>
      <c r="AR151" s="168"/>
      <c r="AS151" s="168"/>
      <c r="AT151" s="168"/>
      <c r="AU151" s="168"/>
      <c r="AV151" s="168"/>
      <c r="AW151" s="168"/>
      <c r="AX151" s="168"/>
      <c r="AY151" s="168"/>
      <c r="AZ151" s="168"/>
      <c r="BA151" s="168"/>
      <c r="BB151" s="168"/>
      <c r="BC151" s="168"/>
      <c r="BD151" s="168"/>
      <c r="BE151" s="168"/>
      <c r="BF151" s="168"/>
      <c r="BG151" s="168"/>
      <c r="BH151" s="168"/>
      <c r="BI151" s="168"/>
      <c r="BJ151" s="168"/>
      <c r="BK151" s="168"/>
      <c r="BL151" s="168"/>
      <c r="BM151" s="168"/>
      <c r="BN151" s="168"/>
      <c r="BO151" s="168"/>
    </row>
    <row r="152" spans="1:67" s="152" customFormat="1" ht="15" thickBot="1" x14ac:dyDescent="0.4">
      <c r="A152" s="197"/>
      <c r="B152" s="198"/>
      <c r="C152" s="198"/>
      <c r="D152" s="216"/>
      <c r="E152" s="198"/>
      <c r="F152" s="198"/>
      <c r="G152" s="198"/>
      <c r="H152" s="198"/>
      <c r="I152" s="198"/>
      <c r="J152" s="198"/>
      <c r="K152" s="198"/>
      <c r="L152" s="198"/>
      <c r="M152" s="159"/>
      <c r="N152" s="168"/>
      <c r="O152" s="147"/>
      <c r="P152" s="168"/>
      <c r="Q152" s="168"/>
      <c r="R152" s="168"/>
      <c r="S152" s="168"/>
      <c r="T152" s="168"/>
      <c r="U152" s="168"/>
      <c r="V152" s="168"/>
      <c r="W152" s="168"/>
      <c r="X152" s="168"/>
      <c r="Y152" s="168"/>
      <c r="Z152" s="168"/>
      <c r="AA152" s="151"/>
      <c r="AB152" s="168"/>
      <c r="AC152" s="168"/>
      <c r="AD152" s="168"/>
      <c r="AE152" s="151"/>
      <c r="AF152" s="168"/>
      <c r="AG152" s="168"/>
      <c r="AH152" s="168"/>
      <c r="AI152" s="168"/>
      <c r="AJ152" s="168"/>
      <c r="AK152" s="168"/>
      <c r="AL152" s="168"/>
      <c r="AM152" s="168"/>
      <c r="AN152" s="168"/>
      <c r="AO152" s="168"/>
      <c r="AP152" s="168"/>
      <c r="AQ152" s="168"/>
      <c r="AR152" s="168"/>
      <c r="AS152" s="168"/>
      <c r="AT152" s="168"/>
      <c r="AU152" s="168"/>
      <c r="AV152" s="168"/>
      <c r="AW152" s="168"/>
      <c r="AX152" s="168"/>
      <c r="AY152" s="168"/>
      <c r="AZ152" s="168"/>
      <c r="BA152" s="168"/>
      <c r="BB152" s="168"/>
      <c r="BC152" s="168"/>
      <c r="BD152" s="168"/>
      <c r="BE152" s="168"/>
      <c r="BF152" s="168"/>
      <c r="BG152" s="168"/>
      <c r="BH152" s="168"/>
      <c r="BI152" s="168"/>
      <c r="BJ152" s="168"/>
      <c r="BK152" s="168"/>
      <c r="BL152" s="168"/>
      <c r="BM152" s="168"/>
      <c r="BN152" s="168"/>
      <c r="BO152" s="168"/>
    </row>
    <row r="153" spans="1:67" s="152" customFormat="1" x14ac:dyDescent="0.35">
      <c r="A153" s="179"/>
      <c r="B153" s="179"/>
      <c r="C153" s="179"/>
      <c r="D153" s="212"/>
      <c r="E153" s="179"/>
      <c r="F153" s="179"/>
      <c r="G153" s="179"/>
      <c r="H153" s="179"/>
      <c r="I153" s="179"/>
      <c r="J153" s="179"/>
      <c r="K153" s="179"/>
      <c r="L153" s="179"/>
      <c r="M153" s="160"/>
      <c r="N153" s="168"/>
      <c r="O153" s="147"/>
      <c r="P153" s="168"/>
      <c r="Q153" s="168"/>
      <c r="R153" s="168"/>
      <c r="S153" s="168"/>
      <c r="T153" s="168"/>
      <c r="U153" s="168"/>
      <c r="V153" s="168"/>
      <c r="W153" s="168"/>
      <c r="X153" s="168"/>
      <c r="Y153" s="168"/>
      <c r="Z153" s="168"/>
      <c r="AA153" s="151"/>
      <c r="AB153" s="168"/>
      <c r="AC153" s="168"/>
      <c r="AD153" s="168"/>
      <c r="AE153" s="151"/>
      <c r="AF153" s="168"/>
      <c r="AG153" s="168"/>
      <c r="AH153" s="168"/>
      <c r="AI153" s="168"/>
      <c r="AJ153" s="168"/>
      <c r="AK153" s="168"/>
      <c r="AL153" s="168"/>
      <c r="AM153" s="168"/>
      <c r="AN153" s="168"/>
      <c r="AO153" s="168"/>
      <c r="AP153" s="168"/>
      <c r="AQ153" s="168"/>
      <c r="AR153" s="168"/>
      <c r="AS153" s="168"/>
      <c r="AT153" s="168"/>
      <c r="AU153" s="168"/>
      <c r="AV153" s="168"/>
      <c r="AW153" s="168"/>
      <c r="AX153" s="168"/>
      <c r="AY153" s="168"/>
      <c r="AZ153" s="168"/>
      <c r="BA153" s="168"/>
      <c r="BB153" s="168"/>
      <c r="BC153" s="168"/>
      <c r="BD153" s="168"/>
      <c r="BE153" s="168"/>
      <c r="BF153" s="168"/>
      <c r="BG153" s="168"/>
      <c r="BH153" s="168"/>
      <c r="BI153" s="168"/>
      <c r="BJ153" s="168"/>
      <c r="BK153" s="168"/>
      <c r="BL153" s="168"/>
      <c r="BM153" s="168"/>
      <c r="BN153" s="168"/>
      <c r="BO153" s="168"/>
    </row>
    <row r="154" spans="1:67" s="152" customFormat="1" x14ac:dyDescent="0.35">
      <c r="A154" s="179"/>
      <c r="B154" s="179"/>
      <c r="C154" s="179"/>
      <c r="D154" s="212"/>
      <c r="E154" s="179"/>
      <c r="F154" s="179"/>
      <c r="G154" s="179"/>
      <c r="H154" s="179"/>
      <c r="I154" s="179"/>
      <c r="J154" s="179"/>
      <c r="K154" s="179"/>
      <c r="L154" s="179"/>
      <c r="M154" s="159"/>
      <c r="N154" s="168"/>
      <c r="O154" s="147"/>
      <c r="P154" s="168"/>
      <c r="Q154" s="168"/>
      <c r="R154" s="168"/>
      <c r="S154" s="168"/>
      <c r="T154" s="168"/>
      <c r="U154" s="168"/>
      <c r="V154" s="168"/>
      <c r="W154" s="168"/>
      <c r="X154" s="168"/>
      <c r="Y154" s="168"/>
      <c r="Z154" s="168"/>
      <c r="AA154" s="151"/>
      <c r="AB154" s="168"/>
      <c r="AC154" s="168"/>
      <c r="AD154" s="168"/>
      <c r="AE154" s="151"/>
      <c r="AF154" s="168"/>
      <c r="AG154" s="168"/>
      <c r="AH154" s="168"/>
      <c r="AI154" s="168"/>
      <c r="AJ154" s="168"/>
      <c r="AK154" s="168"/>
      <c r="AL154" s="168"/>
      <c r="AM154" s="168"/>
      <c r="AN154" s="168"/>
      <c r="AO154" s="168"/>
      <c r="AP154" s="168"/>
      <c r="AQ154" s="168"/>
      <c r="AR154" s="168"/>
      <c r="AS154" s="168"/>
      <c r="AT154" s="168"/>
      <c r="AU154" s="168"/>
      <c r="AV154" s="168"/>
      <c r="AW154" s="168"/>
      <c r="AX154" s="168"/>
      <c r="AY154" s="168"/>
      <c r="AZ154" s="168"/>
      <c r="BA154" s="168"/>
      <c r="BB154" s="168"/>
      <c r="BC154" s="168"/>
      <c r="BD154" s="168"/>
      <c r="BE154" s="168"/>
      <c r="BF154" s="168"/>
      <c r="BG154" s="168"/>
      <c r="BH154" s="168"/>
      <c r="BI154" s="168"/>
      <c r="BJ154" s="168"/>
      <c r="BK154" s="168"/>
      <c r="BL154" s="168"/>
      <c r="BM154" s="168"/>
      <c r="BN154" s="168"/>
      <c r="BO154" s="168"/>
    </row>
    <row r="155" spans="1:67" s="152" customFormat="1" x14ac:dyDescent="0.35">
      <c r="A155" s="180" t="s">
        <v>0</v>
      </c>
      <c r="B155" s="182" t="s">
        <v>10</v>
      </c>
      <c r="C155" s="182" t="s">
        <v>11</v>
      </c>
      <c r="D155" s="209" t="s">
        <v>12</v>
      </c>
      <c r="E155" s="182" t="s">
        <v>13</v>
      </c>
      <c r="F155" s="182" t="s">
        <v>14</v>
      </c>
      <c r="G155" s="182" t="s">
        <v>15</v>
      </c>
      <c r="H155" s="182" t="s">
        <v>16</v>
      </c>
      <c r="I155" s="183" t="s">
        <v>17</v>
      </c>
      <c r="J155" s="184" t="s">
        <v>23</v>
      </c>
      <c r="K155" s="184" t="s">
        <v>24</v>
      </c>
      <c r="L155" s="185" t="s">
        <v>18</v>
      </c>
      <c r="M155" s="159"/>
      <c r="N155" s="168"/>
      <c r="O155" s="147"/>
      <c r="P155" s="168"/>
      <c r="Q155" s="168"/>
      <c r="R155" s="168"/>
      <c r="S155" s="168"/>
      <c r="T155" s="168"/>
      <c r="U155" s="168"/>
      <c r="V155" s="168"/>
      <c r="W155" s="168"/>
      <c r="X155" s="168"/>
      <c r="Y155" s="168"/>
      <c r="Z155" s="168"/>
      <c r="AA155" s="151"/>
      <c r="AB155" s="168"/>
      <c r="AC155" s="168"/>
      <c r="AD155" s="168"/>
      <c r="AE155" s="151"/>
      <c r="AF155" s="168"/>
      <c r="AG155" s="168"/>
      <c r="AH155" s="168"/>
      <c r="AI155" s="168"/>
      <c r="AJ155" s="168"/>
      <c r="AK155" s="168"/>
      <c r="AL155" s="168"/>
      <c r="AM155" s="168"/>
      <c r="AN155" s="168"/>
      <c r="AO155" s="168"/>
      <c r="AP155" s="168"/>
      <c r="AQ155" s="168"/>
      <c r="AR155" s="168"/>
      <c r="AS155" s="168"/>
      <c r="AT155" s="168"/>
      <c r="AU155" s="168"/>
      <c r="AV155" s="168"/>
      <c r="AW155" s="168"/>
      <c r="AX155" s="168"/>
      <c r="AY155" s="168"/>
      <c r="AZ155" s="168"/>
      <c r="BA155" s="168"/>
      <c r="BB155" s="168"/>
      <c r="BC155" s="168"/>
      <c r="BD155" s="168"/>
      <c r="BE155" s="168"/>
      <c r="BF155" s="168"/>
      <c r="BG155" s="168"/>
      <c r="BH155" s="168"/>
      <c r="BI155" s="168"/>
      <c r="BJ155" s="168"/>
      <c r="BK155" s="168"/>
      <c r="BL155" s="168"/>
      <c r="BM155" s="168"/>
      <c r="BN155" s="168"/>
      <c r="BO155" s="168"/>
    </row>
    <row r="156" spans="1:67" s="152" customFormat="1" x14ac:dyDescent="0.35">
      <c r="A156" s="154" t="s">
        <v>36</v>
      </c>
      <c r="B156" s="199">
        <v>10578</v>
      </c>
      <c r="C156" s="199">
        <v>10578</v>
      </c>
      <c r="D156" s="217">
        <v>10578</v>
      </c>
      <c r="E156" s="199">
        <v>10578</v>
      </c>
      <c r="F156" s="199">
        <v>10578</v>
      </c>
      <c r="G156" s="199">
        <v>10578</v>
      </c>
      <c r="H156" s="199">
        <v>10578</v>
      </c>
      <c r="I156" s="199">
        <v>10578</v>
      </c>
      <c r="J156" s="199">
        <v>10578</v>
      </c>
      <c r="K156" s="199">
        <v>10578</v>
      </c>
      <c r="L156" s="200">
        <f>SUM(B156:K156)</f>
        <v>105780</v>
      </c>
      <c r="M156" s="159"/>
      <c r="N156" s="168"/>
      <c r="O156" s="147"/>
      <c r="P156" s="168"/>
      <c r="Q156" s="168"/>
      <c r="R156" s="168"/>
      <c r="S156" s="168"/>
      <c r="T156" s="168"/>
      <c r="U156" s="168"/>
      <c r="V156" s="168"/>
      <c r="W156" s="168"/>
      <c r="X156" s="168"/>
      <c r="Y156" s="168"/>
      <c r="Z156" s="168"/>
      <c r="AA156" s="151"/>
      <c r="AB156" s="168"/>
      <c r="AC156" s="168"/>
      <c r="AD156" s="168"/>
      <c r="AE156" s="151"/>
      <c r="AF156" s="168"/>
      <c r="AG156" s="168"/>
      <c r="AH156" s="168"/>
      <c r="AI156" s="168"/>
      <c r="AJ156" s="168"/>
      <c r="AK156" s="168"/>
      <c r="AL156" s="168"/>
      <c r="AM156" s="168"/>
      <c r="AN156" s="168"/>
      <c r="AO156" s="168"/>
      <c r="AP156" s="168"/>
      <c r="AQ156" s="168"/>
      <c r="AR156" s="168"/>
      <c r="AS156" s="168"/>
      <c r="AT156" s="168"/>
      <c r="AU156" s="168"/>
      <c r="AV156" s="168"/>
      <c r="AW156" s="168"/>
      <c r="AX156" s="168"/>
      <c r="AY156" s="168"/>
      <c r="AZ156" s="168"/>
      <c r="BA156" s="168"/>
      <c r="BB156" s="168"/>
      <c r="BC156" s="168"/>
      <c r="BD156" s="168"/>
      <c r="BE156" s="168"/>
      <c r="BF156" s="168"/>
      <c r="BG156" s="168"/>
      <c r="BH156" s="168"/>
      <c r="BI156" s="168"/>
      <c r="BJ156" s="168"/>
      <c r="BK156" s="168"/>
      <c r="BL156" s="168"/>
      <c r="BM156" s="168"/>
      <c r="BN156" s="168"/>
      <c r="BO156" s="168"/>
    </row>
    <row r="157" spans="1:67" s="158" customFormat="1" x14ac:dyDescent="0.35">
      <c r="A157" s="187" t="s">
        <v>20</v>
      </c>
      <c r="B157" s="201">
        <f>'housing proportion projections'!L56</f>
        <v>1750.36034465748</v>
      </c>
      <c r="C157" s="201">
        <f>'housing proportion projections'!M56</f>
        <v>1750.36034465748</v>
      </c>
      <c r="D157" s="201">
        <f>'housing proportion projections'!N56</f>
        <v>1750.36034465748</v>
      </c>
      <c r="E157" s="201">
        <f>'housing proportion projections'!O56</f>
        <v>1750.36034465748</v>
      </c>
      <c r="F157" s="201">
        <f>'housing proportion projections'!P56</f>
        <v>1750.36034465748</v>
      </c>
      <c r="G157" s="201">
        <f>'housing proportion projections'!Q56</f>
        <v>1750.36034465748</v>
      </c>
      <c r="H157" s="201">
        <f>'housing proportion projections'!R56</f>
        <v>1750.36034465748</v>
      </c>
      <c r="I157" s="201">
        <f>'housing proportion projections'!S56</f>
        <v>1750.36034465748</v>
      </c>
      <c r="J157" s="201">
        <f>'housing proportion projections'!T56</f>
        <v>1750.36034465748</v>
      </c>
      <c r="K157" s="201">
        <f>'housing proportion projections'!U56</f>
        <v>1750.36034465748</v>
      </c>
      <c r="L157" s="200">
        <f t="shared" ref="L157:L160" si="221">SUM(B157:K157)</f>
        <v>17503.603446574802</v>
      </c>
      <c r="M157" s="167"/>
      <c r="N157" s="168"/>
      <c r="O157" s="147"/>
      <c r="P157" s="168"/>
      <c r="Q157" s="168"/>
      <c r="R157" s="168"/>
      <c r="S157" s="168"/>
      <c r="T157" s="168"/>
      <c r="U157" s="168"/>
      <c r="V157" s="168"/>
      <c r="W157" s="168"/>
      <c r="X157" s="168"/>
      <c r="Y157" s="168"/>
      <c r="Z157" s="168"/>
      <c r="AA157" s="151"/>
      <c r="AB157" s="168"/>
      <c r="AC157" s="168"/>
      <c r="AD157" s="168"/>
      <c r="AE157" s="151"/>
      <c r="AF157" s="168"/>
      <c r="AG157" s="168"/>
      <c r="AH157" s="168"/>
      <c r="AI157" s="168"/>
      <c r="AJ157" s="168"/>
      <c r="AK157" s="168"/>
      <c r="AL157" s="168"/>
      <c r="AM157" s="168"/>
      <c r="AN157" s="168"/>
      <c r="AO157" s="168"/>
      <c r="AP157" s="168"/>
      <c r="AQ157" s="168"/>
      <c r="AR157" s="168"/>
      <c r="AS157" s="168"/>
      <c r="AT157" s="168"/>
      <c r="AU157" s="168"/>
      <c r="AV157" s="168"/>
      <c r="AW157" s="168"/>
      <c r="AX157" s="168"/>
      <c r="AY157" s="168"/>
      <c r="AZ157" s="168"/>
      <c r="BA157" s="168"/>
      <c r="BB157" s="168"/>
      <c r="BC157" s="168"/>
      <c r="BD157" s="168"/>
      <c r="BE157" s="168"/>
      <c r="BF157" s="168"/>
      <c r="BG157" s="168"/>
      <c r="BH157" s="168"/>
      <c r="BI157" s="168"/>
      <c r="BJ157" s="168"/>
      <c r="BK157" s="168"/>
      <c r="BL157" s="168"/>
      <c r="BM157" s="168"/>
      <c r="BN157" s="168"/>
      <c r="BO157" s="168"/>
    </row>
    <row r="158" spans="1:67" s="152" customFormat="1" ht="15" thickBot="1" x14ac:dyDescent="0.4">
      <c r="A158" s="187" t="s">
        <v>21</v>
      </c>
      <c r="B158" s="201">
        <f>'housing proportion projections'!L57</f>
        <v>3180.9316111421713</v>
      </c>
      <c r="C158" s="201">
        <f>'housing proportion projections'!M57</f>
        <v>3180.9316111421713</v>
      </c>
      <c r="D158" s="201">
        <f>'housing proportion projections'!N57</f>
        <v>3180.9316111421713</v>
      </c>
      <c r="E158" s="201">
        <f>'housing proportion projections'!O57</f>
        <v>3180.9316111421713</v>
      </c>
      <c r="F158" s="201">
        <f>'housing proportion projections'!P57</f>
        <v>3180.9316111421713</v>
      </c>
      <c r="G158" s="201">
        <f>'housing proportion projections'!Q57</f>
        <v>3180.9316111421713</v>
      </c>
      <c r="H158" s="201">
        <f>'housing proportion projections'!R57</f>
        <v>3180.9316111421713</v>
      </c>
      <c r="I158" s="201">
        <f>'housing proportion projections'!S57</f>
        <v>3180.9316111421713</v>
      </c>
      <c r="J158" s="201">
        <f>'housing proportion projections'!T57</f>
        <v>3180.9316111421713</v>
      </c>
      <c r="K158" s="201">
        <f>'housing proportion projections'!U57</f>
        <v>3180.9316111421713</v>
      </c>
      <c r="L158" s="200">
        <f t="shared" si="221"/>
        <v>31809.316111421718</v>
      </c>
      <c r="M158" s="159"/>
      <c r="N158" s="168"/>
      <c r="O158" s="147"/>
      <c r="P158" s="168"/>
      <c r="Q158" s="168"/>
      <c r="R158" s="168"/>
      <c r="S158" s="168"/>
      <c r="T158" s="168"/>
      <c r="U158" s="168"/>
      <c r="V158" s="168"/>
      <c r="W158" s="168"/>
      <c r="X158" s="168"/>
      <c r="Y158" s="168"/>
      <c r="Z158" s="168"/>
      <c r="AA158" s="151"/>
      <c r="AB158" s="168"/>
      <c r="AC158" s="168"/>
      <c r="AD158" s="168"/>
      <c r="AE158" s="151"/>
      <c r="AF158" s="168"/>
      <c r="AG158" s="168"/>
      <c r="AH158" s="168"/>
      <c r="AI158" s="168"/>
      <c r="AJ158" s="168"/>
      <c r="AK158" s="168"/>
      <c r="AL158" s="168"/>
      <c r="AM158" s="168"/>
      <c r="AN158" s="168"/>
      <c r="AO158" s="168"/>
      <c r="AP158" s="168"/>
      <c r="AQ158" s="168"/>
      <c r="AR158" s="168"/>
      <c r="AS158" s="168"/>
      <c r="AT158" s="168"/>
      <c r="AU158" s="168"/>
      <c r="AV158" s="168"/>
      <c r="AW158" s="168"/>
      <c r="AX158" s="168"/>
      <c r="AY158" s="168"/>
      <c r="AZ158" s="168"/>
      <c r="BA158" s="168"/>
      <c r="BB158" s="168"/>
      <c r="BC158" s="168"/>
      <c r="BD158" s="168"/>
      <c r="BE158" s="168"/>
      <c r="BF158" s="168"/>
      <c r="BG158" s="168"/>
      <c r="BH158" s="168"/>
      <c r="BI158" s="168"/>
      <c r="BJ158" s="168"/>
      <c r="BK158" s="168"/>
      <c r="BL158" s="168"/>
      <c r="BM158" s="168"/>
      <c r="BN158" s="168"/>
      <c r="BO158" s="168"/>
    </row>
    <row r="159" spans="1:67" s="156" customFormat="1" x14ac:dyDescent="0.35">
      <c r="A159" s="187" t="s">
        <v>26</v>
      </c>
      <c r="B159" s="201">
        <f>'housing proportion projections'!L58</f>
        <v>3486.0227414740025</v>
      </c>
      <c r="C159" s="201">
        <f>'housing proportion projections'!M58</f>
        <v>3486.0227414740025</v>
      </c>
      <c r="D159" s="201">
        <f>'housing proportion projections'!N58</f>
        <v>3486.0227414740025</v>
      </c>
      <c r="E159" s="201">
        <f>'housing proportion projections'!O58</f>
        <v>3486.0227414740025</v>
      </c>
      <c r="F159" s="201">
        <f>'housing proportion projections'!P58</f>
        <v>3486.0227414740025</v>
      </c>
      <c r="G159" s="201">
        <f>'housing proportion projections'!Q58</f>
        <v>3486.0227414740025</v>
      </c>
      <c r="H159" s="201">
        <f>'housing proportion projections'!R58</f>
        <v>3486.0227414740025</v>
      </c>
      <c r="I159" s="201">
        <f>'housing proportion projections'!S58</f>
        <v>3486.0227414740025</v>
      </c>
      <c r="J159" s="201">
        <f>'housing proportion projections'!T58</f>
        <v>3486.0227414740025</v>
      </c>
      <c r="K159" s="201">
        <f>'housing proportion projections'!U58</f>
        <v>3486.0227414740025</v>
      </c>
      <c r="L159" s="200">
        <f t="shared" si="221"/>
        <v>34860.227414740031</v>
      </c>
      <c r="M159" s="161"/>
      <c r="N159" s="168"/>
      <c r="O159" s="147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  <c r="AA159" s="151"/>
      <c r="AB159" s="168"/>
      <c r="AC159" s="168"/>
      <c r="AD159" s="168"/>
      <c r="AE159" s="151"/>
      <c r="AF159" s="168"/>
      <c r="AG159" s="168"/>
      <c r="AH159" s="168"/>
      <c r="AI159" s="168"/>
      <c r="AJ159" s="168"/>
      <c r="AK159" s="168"/>
      <c r="AL159" s="168"/>
      <c r="AM159" s="168"/>
      <c r="AN159" s="168"/>
      <c r="AO159" s="168"/>
      <c r="AP159" s="168"/>
      <c r="AQ159" s="168"/>
      <c r="AR159" s="168"/>
      <c r="AS159" s="168"/>
      <c r="AT159" s="168"/>
      <c r="AU159" s="168"/>
      <c r="AV159" s="168"/>
      <c r="AW159" s="168"/>
      <c r="AX159" s="168"/>
      <c r="AY159" s="168"/>
      <c r="AZ159" s="168"/>
      <c r="BA159" s="168"/>
      <c r="BB159" s="168"/>
      <c r="BC159" s="168"/>
      <c r="BD159" s="168"/>
      <c r="BE159" s="168"/>
      <c r="BF159" s="168"/>
      <c r="BG159" s="168"/>
      <c r="BH159" s="168"/>
      <c r="BI159" s="168"/>
      <c r="BJ159" s="168"/>
      <c r="BK159" s="168"/>
      <c r="BL159" s="168"/>
      <c r="BM159" s="168"/>
      <c r="BN159" s="168"/>
      <c r="BO159" s="168"/>
    </row>
    <row r="160" spans="1:67" s="155" customFormat="1" x14ac:dyDescent="0.35">
      <c r="A160" s="190" t="s">
        <v>22</v>
      </c>
      <c r="B160" s="201">
        <f>'housing proportion projections'!L59</f>
        <v>2160.7722728319136</v>
      </c>
      <c r="C160" s="201">
        <f>'housing proportion projections'!M59</f>
        <v>2160.7722728319136</v>
      </c>
      <c r="D160" s="201">
        <f>'housing proportion projections'!N59</f>
        <v>2160.7722728319136</v>
      </c>
      <c r="E160" s="201">
        <f>'housing proportion projections'!O59</f>
        <v>2160.7722728319136</v>
      </c>
      <c r="F160" s="201">
        <f>'housing proportion projections'!P59</f>
        <v>2160.7722728319136</v>
      </c>
      <c r="G160" s="201">
        <f>'housing proportion projections'!Q59</f>
        <v>2160.7722728319136</v>
      </c>
      <c r="H160" s="201">
        <f>'housing proportion projections'!R59</f>
        <v>2160.7722728319136</v>
      </c>
      <c r="I160" s="201">
        <f>'housing proportion projections'!S59</f>
        <v>2160.7722728319136</v>
      </c>
      <c r="J160" s="201">
        <f>'housing proportion projections'!T59</f>
        <v>2160.7722728319136</v>
      </c>
      <c r="K160" s="201">
        <f>'housing proportion projections'!U59</f>
        <v>2160.7722728319136</v>
      </c>
      <c r="L160" s="200">
        <f t="shared" si="221"/>
        <v>21607.722728319135</v>
      </c>
      <c r="M160" s="162"/>
      <c r="N160" s="168"/>
      <c r="O160" s="147"/>
      <c r="P160" s="168"/>
      <c r="Q160" s="168"/>
      <c r="R160" s="168"/>
      <c r="S160" s="168"/>
      <c r="T160" s="168"/>
      <c r="U160" s="168"/>
      <c r="V160" s="168"/>
      <c r="W160" s="168"/>
      <c r="X160" s="168"/>
      <c r="Y160" s="168"/>
      <c r="Z160" s="168"/>
      <c r="AA160" s="151"/>
      <c r="AB160" s="168"/>
      <c r="AC160" s="168"/>
      <c r="AD160" s="168"/>
      <c r="AE160" s="151"/>
      <c r="AF160" s="168"/>
      <c r="AG160" s="168"/>
      <c r="AH160" s="168"/>
      <c r="AI160" s="168"/>
      <c r="AJ160" s="168"/>
      <c r="AK160" s="168"/>
      <c r="AL160" s="168"/>
      <c r="AM160" s="168"/>
      <c r="AN160" s="168"/>
      <c r="AO160" s="168"/>
      <c r="AP160" s="168"/>
      <c r="AQ160" s="168"/>
      <c r="AR160" s="168"/>
      <c r="AS160" s="168"/>
      <c r="AT160" s="168"/>
      <c r="AU160" s="168"/>
      <c r="AV160" s="168"/>
      <c r="AW160" s="168"/>
      <c r="AX160" s="168"/>
      <c r="AY160" s="168"/>
      <c r="AZ160" s="168"/>
      <c r="BA160" s="168"/>
      <c r="BB160" s="168"/>
      <c r="BC160" s="168"/>
      <c r="BD160" s="168"/>
      <c r="BE160" s="168"/>
      <c r="BF160" s="168"/>
      <c r="BG160" s="168"/>
      <c r="BH160" s="168"/>
      <c r="BI160" s="168"/>
      <c r="BJ160" s="168"/>
      <c r="BK160" s="168"/>
      <c r="BL160" s="168"/>
      <c r="BM160" s="168"/>
      <c r="BN160" s="168"/>
      <c r="BO160" s="168"/>
    </row>
    <row r="161" spans="1:67" s="155" customFormat="1" ht="15" thickBot="1" x14ac:dyDescent="0.4">
      <c r="A161" s="179"/>
      <c r="B161" s="179"/>
      <c r="C161" s="179"/>
      <c r="D161" s="212"/>
      <c r="E161" s="179"/>
      <c r="F161" s="179"/>
      <c r="G161" s="179"/>
      <c r="H161" s="179"/>
      <c r="I161" s="179"/>
      <c r="J161" s="179"/>
      <c r="K161" s="179"/>
      <c r="L161" s="179"/>
      <c r="M161" s="163"/>
      <c r="N161" s="168"/>
      <c r="O161" s="147"/>
      <c r="P161" s="168"/>
      <c r="Q161" s="168"/>
      <c r="R161" s="168"/>
      <c r="S161" s="168"/>
      <c r="T161" s="168"/>
      <c r="U161" s="168"/>
      <c r="V161" s="168"/>
      <c r="W161" s="168"/>
      <c r="X161" s="168"/>
      <c r="Y161" s="168"/>
      <c r="Z161" s="168"/>
      <c r="AA161" s="151"/>
      <c r="AB161" s="168"/>
      <c r="AC161" s="168"/>
      <c r="AD161" s="168"/>
      <c r="AE161" s="151"/>
      <c r="AF161" s="168"/>
      <c r="AG161" s="168"/>
      <c r="AH161" s="168"/>
      <c r="AI161" s="168"/>
      <c r="AJ161" s="168"/>
      <c r="AK161" s="168"/>
      <c r="AL161" s="168"/>
      <c r="AM161" s="168"/>
      <c r="AN161" s="168"/>
      <c r="AO161" s="168"/>
      <c r="AP161" s="168"/>
      <c r="AQ161" s="168"/>
      <c r="AR161" s="168"/>
      <c r="AS161" s="168"/>
      <c r="AT161" s="168"/>
      <c r="AU161" s="168"/>
      <c r="AV161" s="168"/>
      <c r="AW161" s="168"/>
      <c r="AX161" s="168"/>
      <c r="AY161" s="168"/>
      <c r="AZ161" s="168"/>
      <c r="BA161" s="168"/>
      <c r="BB161" s="168"/>
      <c r="BC161" s="168"/>
      <c r="BD161" s="168"/>
      <c r="BE161" s="168"/>
      <c r="BF161" s="168"/>
      <c r="BG161" s="168"/>
      <c r="BH161" s="168"/>
      <c r="BI161" s="168"/>
      <c r="BJ161" s="168"/>
      <c r="BK161" s="168"/>
      <c r="BL161" s="168"/>
      <c r="BM161" s="168"/>
      <c r="BN161" s="168"/>
      <c r="BO161" s="168"/>
    </row>
    <row r="162" spans="1:67" s="155" customFormat="1" x14ac:dyDescent="0.35">
      <c r="A162" s="191" t="s">
        <v>134</v>
      </c>
      <c r="B162" s="192"/>
      <c r="C162" s="192"/>
      <c r="D162" s="213"/>
      <c r="E162" s="192"/>
      <c r="F162" s="192"/>
      <c r="G162" s="192"/>
      <c r="H162" s="192"/>
      <c r="I162" s="192"/>
      <c r="J162" s="192"/>
      <c r="K162" s="192"/>
      <c r="L162" s="192"/>
      <c r="M162" s="162"/>
      <c r="N162" s="168"/>
      <c r="O162" s="147"/>
      <c r="P162" s="168"/>
      <c r="Q162" s="168"/>
      <c r="R162" s="168"/>
      <c r="S162" s="168"/>
      <c r="T162" s="168"/>
      <c r="U162" s="168"/>
      <c r="V162" s="168"/>
      <c r="W162" s="168"/>
      <c r="X162" s="168"/>
      <c r="Y162" s="168"/>
      <c r="Z162" s="168"/>
      <c r="AA162" s="151"/>
      <c r="AB162" s="168"/>
      <c r="AC162" s="168"/>
      <c r="AD162" s="168"/>
      <c r="AE162" s="151"/>
      <c r="AF162" s="168"/>
      <c r="AG162" s="168"/>
      <c r="AH162" s="168"/>
      <c r="AI162" s="168"/>
      <c r="AJ162" s="168"/>
      <c r="AK162" s="168"/>
      <c r="AL162" s="168"/>
      <c r="AM162" s="168"/>
      <c r="AN162" s="168"/>
      <c r="AO162" s="168"/>
      <c r="AP162" s="168"/>
      <c r="AQ162" s="168"/>
      <c r="AR162" s="168"/>
      <c r="AS162" s="168"/>
      <c r="AT162" s="168"/>
      <c r="AU162" s="168"/>
      <c r="AV162" s="168"/>
      <c r="AW162" s="168"/>
      <c r="AX162" s="168"/>
      <c r="AY162" s="168"/>
      <c r="AZ162" s="168"/>
      <c r="BA162" s="168"/>
      <c r="BB162" s="168"/>
      <c r="BC162" s="168"/>
      <c r="BD162" s="168"/>
      <c r="BE162" s="168"/>
      <c r="BF162" s="168"/>
      <c r="BG162" s="168"/>
      <c r="BH162" s="168"/>
      <c r="BI162" s="168"/>
      <c r="BJ162" s="168"/>
      <c r="BK162" s="168"/>
      <c r="BL162" s="168"/>
      <c r="BM162" s="168"/>
      <c r="BN162" s="168"/>
      <c r="BO162" s="168"/>
    </row>
    <row r="163" spans="1:67" s="157" customFormat="1" ht="15" thickBot="1" x14ac:dyDescent="0.4">
      <c r="A163" s="193" t="s">
        <v>112</v>
      </c>
      <c r="B163" s="214">
        <f>((B157*$AB$27)+(B158*$AB$28)+(B159*$AB$29)+(B160*$AB$30))*30</f>
        <v>82209425.352853179</v>
      </c>
      <c r="C163" s="214">
        <f>((C157*$AB$27)+(C158*$AB$28)+(C159*$AB$29)+(C160*$AB$30))*30</f>
        <v>82209425.352853179</v>
      </c>
      <c r="D163" s="214">
        <f>((D157*$AF$27)+(D158*$AF$28)+(D159*$AF$29)+(D160*$AF$30))*30</f>
        <v>81229969.417786106</v>
      </c>
      <c r="E163" s="214">
        <f t="shared" ref="E163:K163" si="222">((E157*$AF$27)+(E158*$AF$28)+(E159*$AF$29)+(E160*$AF$30))*30</f>
        <v>81229969.417786106</v>
      </c>
      <c r="F163" s="214">
        <f t="shared" si="222"/>
        <v>81229969.417786106</v>
      </c>
      <c r="G163" s="214">
        <f t="shared" si="222"/>
        <v>81229969.417786106</v>
      </c>
      <c r="H163" s="214">
        <f t="shared" si="222"/>
        <v>81229969.417786106</v>
      </c>
      <c r="I163" s="214">
        <f t="shared" si="222"/>
        <v>81229969.417786106</v>
      </c>
      <c r="J163" s="214">
        <f t="shared" si="222"/>
        <v>81229969.417786106</v>
      </c>
      <c r="K163" s="214">
        <f t="shared" si="222"/>
        <v>81229969.417786106</v>
      </c>
      <c r="L163" s="214">
        <f>SUM(B163:K163)</f>
        <v>814258606.04799533</v>
      </c>
      <c r="M163" s="164"/>
      <c r="N163" s="168"/>
      <c r="O163" s="147"/>
      <c r="P163" s="168"/>
      <c r="Q163" s="168"/>
      <c r="R163" s="168"/>
      <c r="S163" s="168"/>
      <c r="T163" s="168"/>
      <c r="U163" s="168"/>
      <c r="V163" s="168"/>
      <c r="W163" s="168"/>
      <c r="X163" s="168"/>
      <c r="Y163" s="168"/>
      <c r="Z163" s="168"/>
      <c r="AA163" s="151"/>
      <c r="AB163" s="168"/>
      <c r="AC163" s="168"/>
      <c r="AD163" s="168"/>
      <c r="AE163" s="151"/>
      <c r="AF163" s="168"/>
      <c r="AG163" s="168"/>
      <c r="AH163" s="168"/>
      <c r="AI163" s="168"/>
      <c r="AJ163" s="168"/>
      <c r="AK163" s="168"/>
      <c r="AL163" s="168"/>
      <c r="AM163" s="168"/>
      <c r="AN163" s="168"/>
      <c r="AO163" s="168"/>
      <c r="AP163" s="168"/>
      <c r="AQ163" s="168"/>
      <c r="AR163" s="168"/>
      <c r="AS163" s="168"/>
      <c r="AT163" s="168"/>
      <c r="AU163" s="168"/>
      <c r="AV163" s="168"/>
      <c r="AW163" s="168"/>
      <c r="AX163" s="168"/>
      <c r="AY163" s="168"/>
      <c r="AZ163" s="168"/>
      <c r="BA163" s="168"/>
      <c r="BB163" s="168"/>
      <c r="BC163" s="168"/>
      <c r="BD163" s="168"/>
      <c r="BE163" s="168"/>
      <c r="BF163" s="168"/>
      <c r="BG163" s="168"/>
      <c r="BH163" s="168"/>
      <c r="BI163" s="168"/>
      <c r="BJ163" s="168"/>
      <c r="BK163" s="168"/>
      <c r="BL163" s="168"/>
      <c r="BM163" s="168"/>
      <c r="BN163" s="168"/>
      <c r="BO163" s="168"/>
    </row>
    <row r="164" spans="1:67" s="157" customFormat="1" ht="15" customHeight="1" thickBot="1" x14ac:dyDescent="0.4">
      <c r="A164" s="193" t="s">
        <v>113</v>
      </c>
      <c r="B164" s="214">
        <f t="shared" ref="B164" si="223">B163/1000</f>
        <v>82209.425352853184</v>
      </c>
      <c r="C164" s="214">
        <f t="shared" ref="C164" si="224">C163/1000</f>
        <v>82209.425352853184</v>
      </c>
      <c r="D164" s="214">
        <f t="shared" ref="D164" si="225">D163/1000</f>
        <v>81229.969417786109</v>
      </c>
      <c r="E164" s="214">
        <f t="shared" ref="E164" si="226">E163/1000</f>
        <v>81229.969417786109</v>
      </c>
      <c r="F164" s="214">
        <f t="shared" ref="F164" si="227">F163/1000</f>
        <v>81229.969417786109</v>
      </c>
      <c r="G164" s="214">
        <f t="shared" ref="G164" si="228">G163/1000</f>
        <v>81229.969417786109</v>
      </c>
      <c r="H164" s="214">
        <f t="shared" ref="H164" si="229">H163/1000</f>
        <v>81229.969417786109</v>
      </c>
      <c r="I164" s="214">
        <f t="shared" ref="I164" si="230">I163/1000</f>
        <v>81229.969417786109</v>
      </c>
      <c r="J164" s="214">
        <f t="shared" ref="J164" si="231">J163/1000</f>
        <v>81229.969417786109</v>
      </c>
      <c r="K164" s="214">
        <f t="shared" ref="K164" si="232">K163/1000</f>
        <v>81229.969417786109</v>
      </c>
      <c r="L164" s="214">
        <f t="shared" ref="L164" si="233">L163/1000</f>
        <v>814258.60604799527</v>
      </c>
      <c r="M164" s="164"/>
      <c r="N164" s="168"/>
      <c r="O164" s="147"/>
      <c r="P164" s="168"/>
      <c r="Q164" s="168"/>
      <c r="R164" s="168"/>
      <c r="S164" s="168"/>
      <c r="T164" s="168"/>
      <c r="U164" s="168"/>
      <c r="V164" s="168"/>
      <c r="W164" s="168"/>
      <c r="X164" s="168"/>
      <c r="Y164" s="168"/>
      <c r="Z164" s="168"/>
      <c r="AA164" s="151"/>
      <c r="AB164" s="168"/>
      <c r="AC164" s="168"/>
      <c r="AD164" s="168"/>
      <c r="AE164" s="151"/>
      <c r="AF164" s="168"/>
      <c r="AG164" s="168"/>
      <c r="AH164" s="168"/>
      <c r="AI164" s="168"/>
      <c r="AJ164" s="168"/>
      <c r="AK164" s="168"/>
      <c r="AL164" s="168"/>
      <c r="AM164" s="168"/>
      <c r="AN164" s="168"/>
      <c r="AO164" s="168"/>
      <c r="AP164" s="168"/>
      <c r="AQ164" s="168"/>
      <c r="AR164" s="168"/>
      <c r="AS164" s="168"/>
      <c r="AT164" s="168"/>
      <c r="AU164" s="168"/>
      <c r="AV164" s="168"/>
      <c r="AW164" s="168"/>
      <c r="AX164" s="168"/>
      <c r="AY164" s="168"/>
      <c r="AZ164" s="168"/>
      <c r="BA164" s="168"/>
      <c r="BB164" s="168"/>
      <c r="BC164" s="168"/>
      <c r="BD164" s="168"/>
      <c r="BE164" s="168"/>
      <c r="BF164" s="168"/>
      <c r="BG164" s="168"/>
      <c r="BH164" s="168"/>
      <c r="BI164" s="168"/>
      <c r="BJ164" s="168"/>
      <c r="BK164" s="168"/>
      <c r="BL164" s="168"/>
      <c r="BM164" s="168"/>
      <c r="BN164" s="168"/>
      <c r="BO164" s="168"/>
    </row>
    <row r="165" spans="1:67" x14ac:dyDescent="0.35">
      <c r="A165" s="193" t="s">
        <v>64</v>
      </c>
      <c r="B165" s="215">
        <f t="shared" ref="B165" si="234">B164*$X$3</f>
        <v>19237005.532567646</v>
      </c>
      <c r="C165" s="215">
        <f t="shared" ref="C165" si="235">C164*$X$3</f>
        <v>19237005.532567646</v>
      </c>
      <c r="D165" s="215">
        <f t="shared" ref="D165" si="236">D164*$X$3</f>
        <v>19007812.843761951</v>
      </c>
      <c r="E165" s="215">
        <f t="shared" ref="E165" si="237">E164*$X$3</f>
        <v>19007812.843761951</v>
      </c>
      <c r="F165" s="215">
        <f t="shared" ref="F165" si="238">F164*$X$3</f>
        <v>19007812.843761951</v>
      </c>
      <c r="G165" s="215">
        <f t="shared" ref="G165" si="239">G164*$X$3</f>
        <v>19007812.843761951</v>
      </c>
      <c r="H165" s="215">
        <f t="shared" ref="H165" si="240">H164*$X$3</f>
        <v>19007812.843761951</v>
      </c>
      <c r="I165" s="215">
        <f t="shared" ref="I165" si="241">I164*$X$3</f>
        <v>19007812.843761951</v>
      </c>
      <c r="J165" s="215">
        <f t="shared" ref="J165" si="242">J164*$X$3</f>
        <v>19007812.843761951</v>
      </c>
      <c r="K165" s="215">
        <f t="shared" ref="K165" si="243">K164*$X$3</f>
        <v>19007812.843761951</v>
      </c>
      <c r="L165" s="215">
        <f t="shared" ref="L165" si="244">L164*$X$3</f>
        <v>190536513.81523091</v>
      </c>
      <c r="M165" s="159"/>
    </row>
    <row r="166" spans="1:67" x14ac:dyDescent="0.35">
      <c r="A166" s="193"/>
      <c r="B166" s="194"/>
      <c r="C166" s="194"/>
      <c r="D166" s="214"/>
      <c r="E166" s="194"/>
      <c r="F166" s="194"/>
      <c r="G166" s="194"/>
      <c r="H166" s="194"/>
      <c r="I166" s="194"/>
      <c r="J166" s="194"/>
      <c r="K166" s="194"/>
      <c r="L166" s="194"/>
      <c r="M166" s="159"/>
    </row>
    <row r="167" spans="1:67" ht="15" thickBot="1" x14ac:dyDescent="0.4">
      <c r="A167" s="197"/>
      <c r="B167" s="198"/>
      <c r="C167" s="198"/>
      <c r="D167" s="216"/>
      <c r="E167" s="198"/>
      <c r="F167" s="198"/>
      <c r="G167" s="198"/>
      <c r="H167" s="198"/>
      <c r="I167" s="198"/>
      <c r="J167" s="198"/>
      <c r="K167" s="198"/>
      <c r="L167" s="198"/>
      <c r="M167" s="159"/>
    </row>
    <row r="168" spans="1:67" x14ac:dyDescent="0.35">
      <c r="A168" s="159"/>
      <c r="B168" s="159"/>
      <c r="C168" s="159"/>
      <c r="D168" s="159"/>
      <c r="E168" s="159"/>
      <c r="F168" s="159"/>
      <c r="G168" s="159"/>
      <c r="H168" s="159"/>
      <c r="I168" s="159"/>
      <c r="J168" s="159"/>
      <c r="K168" s="159"/>
      <c r="L168" s="159"/>
      <c r="M168" s="160"/>
    </row>
    <row r="169" spans="1:67" x14ac:dyDescent="0.35">
      <c r="A169" s="159"/>
      <c r="B169" s="159"/>
      <c r="C169" s="159"/>
      <c r="D169" s="159"/>
      <c r="E169" s="159"/>
      <c r="F169" s="159"/>
      <c r="G169" s="159"/>
      <c r="H169" s="159"/>
      <c r="I169" s="159"/>
      <c r="J169" s="159"/>
      <c r="K169" s="159"/>
      <c r="L169" s="159"/>
      <c r="M169" s="159"/>
    </row>
    <row r="170" spans="1:67" x14ac:dyDescent="0.35">
      <c r="A170" s="289" t="s">
        <v>0</v>
      </c>
      <c r="B170" s="275" t="s">
        <v>10</v>
      </c>
      <c r="C170" s="275" t="s">
        <v>11</v>
      </c>
      <c r="D170" s="275" t="s">
        <v>12</v>
      </c>
      <c r="E170" s="275" t="s">
        <v>13</v>
      </c>
      <c r="F170" s="275" t="s">
        <v>14</v>
      </c>
      <c r="G170" s="275" t="s">
        <v>15</v>
      </c>
      <c r="H170" s="275" t="s">
        <v>16</v>
      </c>
      <c r="I170" s="290" t="s">
        <v>17</v>
      </c>
      <c r="J170" s="291" t="s">
        <v>23</v>
      </c>
      <c r="K170" s="291" t="s">
        <v>24</v>
      </c>
      <c r="L170" s="292" t="s">
        <v>18</v>
      </c>
      <c r="M170" s="159"/>
    </row>
    <row r="171" spans="1:67" x14ac:dyDescent="0.35">
      <c r="A171" s="297" t="s">
        <v>36</v>
      </c>
      <c r="B171" s="276"/>
      <c r="C171" s="276"/>
      <c r="D171" s="276"/>
      <c r="E171" s="276"/>
      <c r="F171" s="276"/>
      <c r="G171" s="276"/>
      <c r="H171" s="276"/>
      <c r="I171" s="276"/>
      <c r="J171" s="276"/>
      <c r="K171" s="293"/>
      <c r="L171" s="293"/>
      <c r="M171" s="159"/>
    </row>
    <row r="172" spans="1:67" s="80" customFormat="1" x14ac:dyDescent="0.35">
      <c r="A172" s="268" t="s">
        <v>20</v>
      </c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167"/>
      <c r="N172" s="168"/>
      <c r="O172" s="147"/>
      <c r="P172" s="168"/>
      <c r="Q172" s="168"/>
      <c r="R172" s="168"/>
      <c r="S172" s="168"/>
      <c r="T172" s="168"/>
      <c r="U172" s="168"/>
      <c r="V172" s="168"/>
      <c r="W172" s="168"/>
      <c r="X172" s="168"/>
      <c r="Y172" s="168"/>
      <c r="Z172" s="168"/>
      <c r="AA172" s="151"/>
      <c r="AB172" s="168"/>
      <c r="AC172" s="168"/>
      <c r="AD172" s="168"/>
      <c r="AE172" s="151"/>
      <c r="AF172" s="168"/>
      <c r="AG172" s="168"/>
      <c r="AH172" s="168"/>
      <c r="AI172" s="168"/>
      <c r="AJ172" s="168"/>
      <c r="AK172" s="168"/>
      <c r="AL172" s="168"/>
      <c r="AM172" s="168"/>
      <c r="AN172" s="168"/>
      <c r="AO172" s="168"/>
      <c r="AP172" s="168"/>
      <c r="AQ172" s="168"/>
      <c r="AR172" s="168"/>
      <c r="AS172" s="168"/>
      <c r="AT172" s="168"/>
      <c r="AU172" s="168"/>
      <c r="AV172" s="168"/>
      <c r="AW172" s="168"/>
      <c r="AX172" s="168"/>
      <c r="AY172" s="168"/>
      <c r="AZ172" s="168"/>
      <c r="BA172" s="168"/>
      <c r="BB172" s="168"/>
      <c r="BC172" s="168"/>
      <c r="BD172" s="168"/>
      <c r="BE172" s="168"/>
    </row>
    <row r="173" spans="1:67" ht="15" thickBot="1" x14ac:dyDescent="0.4">
      <c r="A173" s="268" t="s">
        <v>21</v>
      </c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159"/>
    </row>
    <row r="174" spans="1:67" s="78" customFormat="1" x14ac:dyDescent="0.35">
      <c r="A174" s="268" t="s">
        <v>26</v>
      </c>
      <c r="B174" s="277"/>
      <c r="C174" s="277"/>
      <c r="D174" s="277"/>
      <c r="E174" s="277"/>
      <c r="F174" s="277"/>
      <c r="G174" s="277"/>
      <c r="H174" s="277"/>
      <c r="I174" s="277"/>
      <c r="J174" s="277"/>
      <c r="K174" s="277"/>
      <c r="L174" s="277"/>
      <c r="M174" s="161"/>
      <c r="N174" s="168"/>
      <c r="O174" s="147"/>
      <c r="P174" s="168"/>
      <c r="Q174" s="168"/>
      <c r="R174" s="168"/>
      <c r="S174" s="168"/>
      <c r="T174" s="168"/>
      <c r="U174" s="168"/>
      <c r="V174" s="168"/>
      <c r="W174" s="168"/>
      <c r="X174" s="168"/>
      <c r="Y174" s="168"/>
      <c r="Z174" s="168"/>
      <c r="AA174" s="151"/>
      <c r="AB174" s="168"/>
      <c r="AC174" s="168"/>
      <c r="AD174" s="168"/>
      <c r="AE174" s="151"/>
      <c r="AF174" s="168"/>
      <c r="AG174" s="168"/>
      <c r="AH174" s="168"/>
      <c r="AI174" s="168"/>
      <c r="AJ174" s="168"/>
      <c r="AK174" s="168"/>
      <c r="AL174" s="168"/>
      <c r="AM174" s="168"/>
      <c r="AN174" s="168"/>
      <c r="AO174" s="168"/>
      <c r="AP174" s="168"/>
      <c r="AQ174" s="168"/>
      <c r="AR174" s="168"/>
      <c r="AS174" s="168"/>
      <c r="AT174" s="168"/>
      <c r="AU174" s="168"/>
      <c r="AV174" s="168"/>
      <c r="AW174" s="168"/>
      <c r="AX174" s="168"/>
      <c r="AY174" s="168"/>
      <c r="AZ174" s="168"/>
      <c r="BA174" s="168"/>
      <c r="BB174" s="168"/>
      <c r="BC174" s="168"/>
      <c r="BD174" s="168"/>
      <c r="BE174" s="168"/>
    </row>
    <row r="175" spans="1:67" s="77" customFormat="1" x14ac:dyDescent="0.35">
      <c r="A175" s="267" t="s">
        <v>22</v>
      </c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162"/>
      <c r="N175" s="168"/>
      <c r="O175" s="147"/>
      <c r="P175" s="168"/>
      <c r="Q175" s="168"/>
      <c r="R175" s="168"/>
      <c r="S175" s="168"/>
      <c r="T175" s="168"/>
      <c r="U175" s="168"/>
      <c r="V175" s="168"/>
      <c r="W175" s="168"/>
      <c r="X175" s="168"/>
      <c r="Y175" s="192"/>
      <c r="Z175" s="168"/>
      <c r="AA175" s="151"/>
      <c r="AB175" s="168"/>
      <c r="AC175" s="168"/>
      <c r="AD175" s="168"/>
      <c r="AE175" s="151"/>
      <c r="AF175" s="168"/>
      <c r="AG175" s="168"/>
      <c r="AH175" s="168"/>
      <c r="AI175" s="168"/>
      <c r="AJ175" s="168"/>
      <c r="AK175" s="168"/>
      <c r="AL175" s="168"/>
      <c r="AM175" s="168"/>
      <c r="AN175" s="168"/>
      <c r="AO175" s="168"/>
      <c r="AP175" s="168"/>
      <c r="AQ175" s="168"/>
      <c r="AR175" s="168"/>
      <c r="AS175" s="168"/>
      <c r="AT175" s="168"/>
      <c r="AU175" s="168"/>
      <c r="AV175" s="168"/>
      <c r="AW175" s="168"/>
      <c r="AX175" s="168"/>
      <c r="AY175" s="168"/>
      <c r="AZ175" s="168"/>
      <c r="BA175" s="168"/>
      <c r="BB175" s="168"/>
      <c r="BC175" s="168"/>
      <c r="BD175" s="168"/>
      <c r="BE175" s="168"/>
    </row>
    <row r="176" spans="1:67" s="77" customFormat="1" ht="15" thickBot="1" x14ac:dyDescent="0.4">
      <c r="A176" s="253"/>
      <c r="B176" s="159"/>
      <c r="C176" s="159"/>
      <c r="D176" s="159"/>
      <c r="E176" s="159"/>
      <c r="F176" s="159"/>
      <c r="G176" s="159"/>
      <c r="H176" s="159"/>
      <c r="I176" s="159"/>
      <c r="J176" s="159"/>
      <c r="K176" s="159"/>
      <c r="L176" s="159"/>
      <c r="M176" s="163"/>
      <c r="N176" s="168"/>
      <c r="O176" s="147"/>
      <c r="P176" s="168"/>
      <c r="Q176" s="168"/>
      <c r="R176" s="168"/>
      <c r="S176" s="168"/>
      <c r="T176" s="168"/>
      <c r="U176" s="168"/>
      <c r="V176" s="168"/>
      <c r="W176" s="168"/>
      <c r="X176" s="168"/>
      <c r="Y176" s="168"/>
      <c r="Z176" s="168"/>
      <c r="AA176" s="151"/>
      <c r="AB176" s="168"/>
      <c r="AC176" s="168"/>
      <c r="AD176" s="168"/>
      <c r="AE176" s="151"/>
      <c r="AF176" s="168"/>
      <c r="AG176" s="168"/>
      <c r="AH176" s="168"/>
      <c r="AI176" s="168"/>
      <c r="AJ176" s="168"/>
      <c r="AK176" s="168"/>
      <c r="AL176" s="168"/>
      <c r="AM176" s="168"/>
      <c r="AN176" s="168"/>
      <c r="AO176" s="168"/>
      <c r="AP176" s="168"/>
      <c r="AQ176" s="168"/>
      <c r="AR176" s="168"/>
      <c r="AS176" s="168"/>
      <c r="AT176" s="168"/>
      <c r="AU176" s="168"/>
      <c r="AV176" s="168"/>
      <c r="AW176" s="168"/>
      <c r="AX176" s="168"/>
      <c r="AY176" s="168"/>
      <c r="AZ176" s="168"/>
      <c r="BA176" s="168"/>
      <c r="BB176" s="168"/>
      <c r="BC176" s="168"/>
      <c r="BD176" s="168"/>
      <c r="BE176" s="168"/>
    </row>
    <row r="177" spans="1:57" s="77" customFormat="1" x14ac:dyDescent="0.35">
      <c r="A177" s="271" t="s">
        <v>56</v>
      </c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162"/>
      <c r="N177" s="168"/>
      <c r="O177" s="147"/>
      <c r="P177" s="168"/>
      <c r="Q177" s="168"/>
      <c r="R177" s="168"/>
      <c r="S177" s="168"/>
      <c r="T177" s="168"/>
      <c r="U177" s="168"/>
      <c r="V177" s="168"/>
      <c r="W177" s="168"/>
      <c r="X177" s="168"/>
      <c r="Y177" s="168"/>
      <c r="Z177" s="168"/>
      <c r="AA177" s="151"/>
      <c r="AB177" s="168"/>
      <c r="AC177" s="168"/>
      <c r="AD177" s="168"/>
      <c r="AE177" s="151"/>
      <c r="AF177" s="168"/>
      <c r="AG177" s="168"/>
      <c r="AH177" s="168"/>
      <c r="AI177" s="168"/>
      <c r="AJ177" s="168"/>
      <c r="AK177" s="168"/>
      <c r="AL177" s="168"/>
      <c r="AM177" s="168"/>
      <c r="AN177" s="168"/>
      <c r="AO177" s="168"/>
      <c r="AP177" s="168"/>
      <c r="AQ177" s="168"/>
      <c r="AR177" s="168"/>
      <c r="AS177" s="168"/>
      <c r="AT177" s="168"/>
      <c r="AU177" s="168"/>
      <c r="AV177" s="168"/>
      <c r="AW177" s="168"/>
      <c r="AX177" s="168"/>
      <c r="AY177" s="168"/>
      <c r="AZ177" s="168"/>
      <c r="BA177" s="168"/>
      <c r="BB177" s="168"/>
      <c r="BC177" s="168"/>
      <c r="BD177" s="168"/>
      <c r="BE177" s="168"/>
    </row>
    <row r="178" spans="1:57" s="79" customFormat="1" ht="15" thickBot="1" x14ac:dyDescent="0.4">
      <c r="A178" s="294" t="s">
        <v>49</v>
      </c>
      <c r="B178" s="278"/>
      <c r="C178" s="278"/>
      <c r="D178" s="278"/>
      <c r="E178" s="278"/>
      <c r="F178" s="278"/>
      <c r="G178" s="278"/>
      <c r="H178" s="278"/>
      <c r="I178" s="278"/>
      <c r="J178" s="278"/>
      <c r="K178" s="278"/>
      <c r="L178" s="278"/>
      <c r="M178" s="164"/>
      <c r="N178" s="168"/>
      <c r="O178" s="147"/>
      <c r="P178" s="168"/>
      <c r="Q178" s="168"/>
      <c r="R178" s="168"/>
      <c r="S178" s="168"/>
      <c r="T178" s="168"/>
      <c r="U178" s="168"/>
      <c r="V178" s="168"/>
      <c r="W178" s="168"/>
      <c r="X178" s="168"/>
      <c r="Y178" s="168"/>
      <c r="Z178" s="168"/>
      <c r="AA178" s="151"/>
      <c r="AB178" s="168"/>
      <c r="AC178" s="168"/>
      <c r="AD178" s="168"/>
      <c r="AE178" s="151"/>
      <c r="AF178" s="168"/>
      <c r="AG178" s="168"/>
      <c r="AH178" s="168"/>
      <c r="AI178" s="168"/>
      <c r="AJ178" s="168"/>
      <c r="AK178" s="168"/>
      <c r="AL178" s="168"/>
      <c r="AM178" s="168"/>
      <c r="AN178" s="168"/>
      <c r="AO178" s="168"/>
      <c r="AP178" s="168"/>
      <c r="AQ178" s="168"/>
      <c r="AR178" s="168"/>
      <c r="AS178" s="168"/>
      <c r="AT178" s="168"/>
      <c r="AU178" s="168"/>
      <c r="AV178" s="168"/>
      <c r="AW178" s="168"/>
      <c r="AX178" s="168"/>
      <c r="AY178" s="168"/>
      <c r="AZ178" s="168"/>
      <c r="BA178" s="168"/>
      <c r="BB178" s="168"/>
      <c r="BC178" s="168"/>
      <c r="BD178" s="168"/>
      <c r="BE178" s="168"/>
    </row>
    <row r="179" spans="1:57" x14ac:dyDescent="0.35">
      <c r="A179" s="294" t="s">
        <v>50</v>
      </c>
      <c r="B179" s="279"/>
      <c r="C179" s="279"/>
      <c r="D179" s="279"/>
      <c r="E179" s="279"/>
      <c r="F179" s="279"/>
      <c r="G179" s="279"/>
      <c r="H179" s="279"/>
      <c r="I179" s="279"/>
      <c r="J179" s="279"/>
      <c r="K179" s="279"/>
      <c r="L179" s="279"/>
      <c r="M179" s="159"/>
    </row>
    <row r="180" spans="1:57" x14ac:dyDescent="0.35">
      <c r="A180" s="294" t="s">
        <v>52</v>
      </c>
      <c r="B180" s="278"/>
      <c r="C180" s="278"/>
      <c r="D180" s="278"/>
      <c r="E180" s="278"/>
      <c r="F180" s="278"/>
      <c r="G180" s="278"/>
      <c r="H180" s="278"/>
      <c r="I180" s="278"/>
      <c r="J180" s="278"/>
      <c r="K180" s="278"/>
      <c r="L180" s="278"/>
      <c r="M180" s="159"/>
    </row>
    <row r="181" spans="1:57" ht="15" thickBot="1" x14ac:dyDescent="0.4">
      <c r="A181" s="295" t="s">
        <v>51</v>
      </c>
      <c r="B181" s="280"/>
      <c r="C181" s="280"/>
      <c r="D181" s="280"/>
      <c r="E181" s="280"/>
      <c r="F181" s="280"/>
      <c r="G181" s="280"/>
      <c r="H181" s="280"/>
      <c r="I181" s="280"/>
      <c r="J181" s="280"/>
      <c r="K181" s="280"/>
      <c r="L181" s="280"/>
      <c r="M181" s="159"/>
    </row>
  </sheetData>
  <mergeCells count="6">
    <mergeCell ref="AB25:AD26"/>
    <mergeCell ref="AF25:AH26"/>
    <mergeCell ref="X14:Z14"/>
    <mergeCell ref="AB14:AD14"/>
    <mergeCell ref="AF14:AI14"/>
    <mergeCell ref="O25:Z2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O182"/>
  <sheetViews>
    <sheetView workbookViewId="0">
      <selection activeCell="A11" sqref="A11"/>
    </sheetView>
  </sheetViews>
  <sheetFormatPr defaultColWidth="9.1796875" defaultRowHeight="14.5" x14ac:dyDescent="0.35"/>
  <cols>
    <col min="1" max="1" width="13.7265625" style="152" customWidth="1"/>
    <col min="2" max="11" width="13.81640625" style="152" bestFit="1" customWidth="1"/>
    <col min="12" max="12" width="14.81640625" style="152" bestFit="1" customWidth="1"/>
    <col min="13" max="13" width="9.1796875" style="152"/>
    <col min="14" max="14" width="9.1796875" style="168"/>
    <col min="15" max="15" width="18.453125" style="147" customWidth="1"/>
    <col min="16" max="20" width="0" style="168" hidden="1" customWidth="1"/>
    <col min="21" max="23" width="9.1796875" style="168" hidden="1" customWidth="1"/>
    <col min="24" max="24" width="31.26953125" style="168" customWidth="1"/>
    <col min="25" max="25" width="27.26953125" style="168" customWidth="1"/>
    <col min="26" max="26" width="18.54296875" style="168" customWidth="1"/>
    <col min="27" max="27" width="5.7265625" style="151" customWidth="1"/>
    <col min="28" max="28" width="22.26953125" style="168" customWidth="1"/>
    <col min="29" max="29" width="31.453125" style="168" customWidth="1"/>
    <col min="30" max="30" width="24.54296875" style="168" customWidth="1"/>
    <col min="31" max="31" width="5" style="151" customWidth="1"/>
    <col min="32" max="32" width="29.26953125" style="168" customWidth="1"/>
    <col min="33" max="33" width="33" style="168" customWidth="1"/>
    <col min="34" max="35" width="23.7265625" style="168" customWidth="1"/>
    <col min="36" max="36" width="17.26953125" style="168" customWidth="1"/>
    <col min="37" max="57" width="9.1796875" style="168"/>
    <col min="58" max="16384" width="9.1796875" style="152"/>
  </cols>
  <sheetData>
    <row r="1" spans="1:67" ht="16" thickBot="1" x14ac:dyDescent="0.4">
      <c r="A1" s="251" t="s">
        <v>123</v>
      </c>
    </row>
    <row r="2" spans="1:67" x14ac:dyDescent="0.35">
      <c r="X2" s="285" t="s">
        <v>126</v>
      </c>
      <c r="Y2" s="286" t="s">
        <v>125</v>
      </c>
    </row>
    <row r="3" spans="1:67" x14ac:dyDescent="0.35">
      <c r="X3" s="287">
        <v>234</v>
      </c>
      <c r="Y3" s="288">
        <v>200</v>
      </c>
    </row>
    <row r="4" spans="1:67" x14ac:dyDescent="0.35">
      <c r="X4" s="281"/>
      <c r="Y4" s="282"/>
    </row>
    <row r="5" spans="1:67" x14ac:dyDescent="0.35">
      <c r="A5" s="180" t="s">
        <v>0</v>
      </c>
      <c r="B5" s="182" t="s">
        <v>10</v>
      </c>
      <c r="C5" s="182" t="s">
        <v>11</v>
      </c>
      <c r="D5" s="209" t="s">
        <v>12</v>
      </c>
      <c r="E5" s="182" t="s">
        <v>13</v>
      </c>
      <c r="F5" s="182" t="s">
        <v>14</v>
      </c>
      <c r="G5" s="182" t="s">
        <v>15</v>
      </c>
      <c r="H5" s="182" t="s">
        <v>16</v>
      </c>
      <c r="I5" s="183" t="s">
        <v>17</v>
      </c>
      <c r="J5" s="184" t="s">
        <v>23</v>
      </c>
      <c r="K5" s="184" t="s">
        <v>24</v>
      </c>
      <c r="L5" s="185" t="s">
        <v>18</v>
      </c>
      <c r="M5" s="159"/>
      <c r="X5" s="281"/>
      <c r="Y5" s="282"/>
      <c r="BF5" s="168"/>
      <c r="BG5" s="168"/>
      <c r="BH5" s="168"/>
      <c r="BI5" s="168"/>
      <c r="BJ5" s="168"/>
      <c r="BK5" s="168"/>
      <c r="BL5" s="168"/>
      <c r="BM5" s="168"/>
      <c r="BN5" s="168"/>
      <c r="BO5" s="168"/>
    </row>
    <row r="6" spans="1:67" s="165" customFormat="1" x14ac:dyDescent="0.35">
      <c r="A6" s="154" t="s">
        <v>25</v>
      </c>
      <c r="B6" s="186">
        <v>726</v>
      </c>
      <c r="C6" s="186">
        <v>726</v>
      </c>
      <c r="D6" s="210">
        <v>726</v>
      </c>
      <c r="E6" s="186">
        <v>726</v>
      </c>
      <c r="F6" s="186">
        <v>726</v>
      </c>
      <c r="G6" s="186">
        <v>726</v>
      </c>
      <c r="H6" s="186">
        <v>726</v>
      </c>
      <c r="I6" s="186">
        <v>726</v>
      </c>
      <c r="J6" s="186">
        <v>726</v>
      </c>
      <c r="K6" s="186">
        <v>726</v>
      </c>
      <c r="L6" s="186">
        <f>SUM(B6:K6)</f>
        <v>7260</v>
      </c>
      <c r="M6" s="160"/>
      <c r="N6" s="169"/>
      <c r="O6" s="170"/>
      <c r="P6" s="169"/>
      <c r="Q6" s="169"/>
      <c r="R6" s="169"/>
      <c r="S6" s="169"/>
      <c r="T6" s="169"/>
      <c r="U6" s="169"/>
      <c r="V6" s="169"/>
      <c r="W6" s="169"/>
      <c r="X6" s="283"/>
      <c r="Y6" s="284"/>
      <c r="Z6" s="169"/>
      <c r="AA6" s="150"/>
      <c r="AB6" s="169"/>
      <c r="AC6" s="169"/>
      <c r="AD6" s="169"/>
      <c r="AE6" s="150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</row>
    <row r="7" spans="1:67" x14ac:dyDescent="0.35">
      <c r="A7" s="187" t="s">
        <v>20</v>
      </c>
      <c r="B7" s="188">
        <f>'housing proportion projections'!L6</f>
        <v>154.22553087625062</v>
      </c>
      <c r="C7" s="188">
        <f>'housing proportion projections'!M6</f>
        <v>154.22553087625062</v>
      </c>
      <c r="D7" s="188">
        <f>'housing proportion projections'!N6</f>
        <v>154.22553087625062</v>
      </c>
      <c r="E7" s="188">
        <f>'housing proportion projections'!O6</f>
        <v>154.22553087625062</v>
      </c>
      <c r="F7" s="188">
        <f>'housing proportion projections'!P6</f>
        <v>154.22553087625062</v>
      </c>
      <c r="G7" s="188">
        <f>'housing proportion projections'!Q6</f>
        <v>154.22553087625062</v>
      </c>
      <c r="H7" s="188">
        <f>'housing proportion projections'!R6</f>
        <v>154.22553087625062</v>
      </c>
      <c r="I7" s="188">
        <f>'housing proportion projections'!S6</f>
        <v>154.22553087625062</v>
      </c>
      <c r="J7" s="188">
        <f>'housing proportion projections'!T6</f>
        <v>154.22553087625062</v>
      </c>
      <c r="K7" s="188">
        <f>'housing proportion projections'!U6</f>
        <v>154.22553087625062</v>
      </c>
      <c r="L7" s="186">
        <f t="shared" ref="L7:L10" si="0">SUM(B7:K7)</f>
        <v>1542.2553087625058</v>
      </c>
      <c r="M7" s="159"/>
      <c r="X7" s="281"/>
      <c r="Y7" s="282"/>
      <c r="BF7" s="168"/>
      <c r="BG7" s="168"/>
      <c r="BH7" s="168"/>
      <c r="BI7" s="168"/>
      <c r="BJ7" s="168"/>
      <c r="BK7" s="168"/>
      <c r="BL7" s="168"/>
      <c r="BM7" s="168"/>
      <c r="BN7" s="168"/>
      <c r="BO7" s="168"/>
    </row>
    <row r="8" spans="1:67" ht="15" thickBot="1" x14ac:dyDescent="0.4">
      <c r="A8" s="187" t="s">
        <v>21</v>
      </c>
      <c r="B8" s="188">
        <f>'housing proportion projections'!L7</f>
        <v>196.69514278740564</v>
      </c>
      <c r="C8" s="188">
        <f>'housing proportion projections'!M7</f>
        <v>196.69514278740564</v>
      </c>
      <c r="D8" s="188">
        <f>'housing proportion projections'!N7</f>
        <v>196.69514278740564</v>
      </c>
      <c r="E8" s="188">
        <f>'housing proportion projections'!O7</f>
        <v>196.69514278740564</v>
      </c>
      <c r="F8" s="188">
        <f>'housing proportion projections'!P7</f>
        <v>196.69514278740564</v>
      </c>
      <c r="G8" s="188">
        <f>'housing proportion projections'!Q7</f>
        <v>196.69514278740564</v>
      </c>
      <c r="H8" s="188">
        <f>'housing proportion projections'!R7</f>
        <v>196.69514278740564</v>
      </c>
      <c r="I8" s="188">
        <f>'housing proportion projections'!S7</f>
        <v>196.69514278740564</v>
      </c>
      <c r="J8" s="188">
        <f>'housing proportion projections'!T7</f>
        <v>196.69514278740564</v>
      </c>
      <c r="K8" s="188">
        <f>'housing proportion projections'!U7</f>
        <v>196.69514278740564</v>
      </c>
      <c r="L8" s="186">
        <f t="shared" si="0"/>
        <v>1966.9514278740562</v>
      </c>
      <c r="M8" s="159"/>
      <c r="X8" s="243"/>
      <c r="Y8" s="244"/>
      <c r="BF8" s="168"/>
      <c r="BG8" s="168"/>
      <c r="BH8" s="168"/>
      <c r="BI8" s="168"/>
      <c r="BJ8" s="168"/>
      <c r="BK8" s="168"/>
      <c r="BL8" s="168"/>
      <c r="BM8" s="168"/>
      <c r="BN8" s="168"/>
      <c r="BO8" s="168"/>
    </row>
    <row r="9" spans="1:67" x14ac:dyDescent="0.35">
      <c r="A9" s="187" t="s">
        <v>26</v>
      </c>
      <c r="B9" s="188">
        <f>'housing proportion projections'!L8</f>
        <v>270.64779106663434</v>
      </c>
      <c r="C9" s="188">
        <f>'housing proportion projections'!M8</f>
        <v>270.64779106663434</v>
      </c>
      <c r="D9" s="188">
        <f>'housing proportion projections'!N8</f>
        <v>270.64779106663434</v>
      </c>
      <c r="E9" s="188">
        <f>'housing proportion projections'!O8</f>
        <v>270.64779106663434</v>
      </c>
      <c r="F9" s="188">
        <f>'housing proportion projections'!P8</f>
        <v>270.64779106663434</v>
      </c>
      <c r="G9" s="188">
        <f>'housing proportion projections'!Q8</f>
        <v>270.64779106663434</v>
      </c>
      <c r="H9" s="188">
        <f>'housing proportion projections'!R8</f>
        <v>270.64779106663434</v>
      </c>
      <c r="I9" s="188">
        <f>'housing proportion projections'!S8</f>
        <v>270.64779106663434</v>
      </c>
      <c r="J9" s="188">
        <f>'housing proportion projections'!T8</f>
        <v>270.64779106663434</v>
      </c>
      <c r="K9" s="188">
        <f>'housing proportion projections'!U8</f>
        <v>270.64779106663434</v>
      </c>
      <c r="L9" s="186">
        <f t="shared" si="0"/>
        <v>2706.4779106663441</v>
      </c>
      <c r="M9" s="159"/>
      <c r="BF9" s="168"/>
      <c r="BG9" s="168"/>
      <c r="BH9" s="168"/>
      <c r="BI9" s="168"/>
      <c r="BJ9" s="168"/>
      <c r="BK9" s="168"/>
      <c r="BL9" s="168"/>
      <c r="BM9" s="168"/>
      <c r="BN9" s="168"/>
      <c r="BO9" s="168"/>
    </row>
    <row r="10" spans="1:67" s="158" customFormat="1" x14ac:dyDescent="0.35">
      <c r="A10" s="190" t="s">
        <v>22</v>
      </c>
      <c r="B10" s="188">
        <f>'housing proportion projections'!L9</f>
        <v>104.49060288015619</v>
      </c>
      <c r="C10" s="188">
        <f>'housing proportion projections'!M9</f>
        <v>104.49060288015619</v>
      </c>
      <c r="D10" s="188">
        <f>'housing proportion projections'!N9</f>
        <v>104.49060288015619</v>
      </c>
      <c r="E10" s="188">
        <f>'housing proportion projections'!O9</f>
        <v>104.49060288015619</v>
      </c>
      <c r="F10" s="188">
        <f>'housing proportion projections'!P9</f>
        <v>104.49060288015619</v>
      </c>
      <c r="G10" s="188">
        <f>'housing proportion projections'!Q9</f>
        <v>104.49060288015619</v>
      </c>
      <c r="H10" s="188">
        <f>'housing proportion projections'!R9</f>
        <v>104.49060288015619</v>
      </c>
      <c r="I10" s="188">
        <f>'housing proportion projections'!S9</f>
        <v>104.49060288015619</v>
      </c>
      <c r="J10" s="188">
        <f>'housing proportion projections'!T9</f>
        <v>104.49060288015619</v>
      </c>
      <c r="K10" s="188">
        <f>'housing proportion projections'!U9</f>
        <v>104.49060288015619</v>
      </c>
      <c r="L10" s="186">
        <f t="shared" si="0"/>
        <v>1044.9060288015619</v>
      </c>
      <c r="M10" s="167"/>
      <c r="N10" s="168"/>
      <c r="O10" s="147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51"/>
      <c r="AB10" s="168"/>
      <c r="AC10" s="168"/>
      <c r="AD10" s="168"/>
      <c r="AE10" s="151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</row>
    <row r="11" spans="1:67" ht="15" thickBot="1" x14ac:dyDescent="0.4">
      <c r="A11" s="179"/>
      <c r="B11" s="179"/>
      <c r="C11" s="179"/>
      <c r="D11" s="212"/>
      <c r="E11" s="179"/>
      <c r="F11" s="179"/>
      <c r="G11" s="179"/>
      <c r="H11" s="179"/>
      <c r="I11" s="179"/>
      <c r="J11" s="179"/>
      <c r="K11" s="179"/>
      <c r="L11" s="179"/>
      <c r="M11" s="159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</row>
    <row r="12" spans="1:67" s="166" customFormat="1" x14ac:dyDescent="0.35">
      <c r="A12" s="191" t="s">
        <v>134</v>
      </c>
      <c r="B12" s="192"/>
      <c r="C12" s="192"/>
      <c r="D12" s="213"/>
      <c r="E12" s="192"/>
      <c r="F12" s="192"/>
      <c r="G12" s="192"/>
      <c r="H12" s="192"/>
      <c r="I12" s="192"/>
      <c r="J12" s="192"/>
      <c r="K12" s="192"/>
      <c r="L12" s="192"/>
      <c r="N12" s="168"/>
      <c r="O12" s="147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51"/>
      <c r="AB12" s="168"/>
      <c r="AC12" s="168"/>
      <c r="AD12" s="168"/>
      <c r="AE12" s="151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</row>
    <row r="13" spans="1:67" s="155" customFormat="1" x14ac:dyDescent="0.35">
      <c r="A13" s="193" t="s">
        <v>112</v>
      </c>
      <c r="B13" s="214">
        <f>30*((B7*$AC$17)+(B8*$AC$18)+(B9*$AC$19)+(B10*$AC$20))+'scenario 3'!B13</f>
        <v>15268313.95919014</v>
      </c>
      <c r="C13" s="214">
        <f>30*((C7*$AC$17)+(C8*$AC$18)+(C9*$AC$19)+(C10*$AC$20))+'scenario 3'!C13</f>
        <v>15268313.95919014</v>
      </c>
      <c r="D13" s="214">
        <f>30*((D7*$AG$17)+(D8*$AG$18)+(D9*$AG$19)+(D10*$AG$20))+'scenario 3'!D13</f>
        <v>12568482.765690096</v>
      </c>
      <c r="E13" s="214">
        <f>30*((E7*$AG$17)+(E8*$AG$18)+(E9*$AG$19)+(E10*$AG$20))+'scenario 3'!E13</f>
        <v>12568482.765690096</v>
      </c>
      <c r="F13" s="214">
        <f>30*((F7*$AG$17)+(F8*$AG$18)+(F9*$AG$19)+(F10*$AG$20))+'scenario 3'!F13</f>
        <v>12568482.765690096</v>
      </c>
      <c r="G13" s="214">
        <f>30*((G7*$AG$17)+(G8*$AG$18)+(G9*$AG$19)+(G10*$AG$20))+'scenario 3'!G13</f>
        <v>12568482.765690096</v>
      </c>
      <c r="H13" s="214">
        <f>30*((H7*$AG$17)+(H8*$AG$18)+(H9*$AG$19)+(H10*$AG$20))+'scenario 3'!H13</f>
        <v>12568482.765690096</v>
      </c>
      <c r="I13" s="214">
        <f>30*((I7*$AG$17)+(I8*$AG$18)+(I9*$AG$19)+(I10*$AG$20))+'scenario 3'!I13</f>
        <v>12568482.765690096</v>
      </c>
      <c r="J13" s="214">
        <f>30*((J7*$AG$17)+(J8*$AG$18)+(J9*$AG$19)+(J10*$AG$20))+'scenario 3'!J13</f>
        <v>12568482.765690096</v>
      </c>
      <c r="K13" s="214">
        <f>30*((K7*$AG$17)+(K8*$AG$18)+(K9*$AG$19)+(K10*$AG$20))+'scenario 3'!K13</f>
        <v>12568482.765690096</v>
      </c>
      <c r="L13" s="214">
        <f>SUM(B13:K13)</f>
        <v>131084490.04390103</v>
      </c>
      <c r="M13" s="162"/>
      <c r="N13" s="168"/>
      <c r="O13" s="147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51"/>
      <c r="AB13" s="168"/>
      <c r="AC13" s="168"/>
      <c r="AD13" s="168"/>
      <c r="AE13" s="151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</row>
    <row r="14" spans="1:67" s="155" customFormat="1" x14ac:dyDescent="0.35">
      <c r="A14" s="193" t="s">
        <v>113</v>
      </c>
      <c r="B14" s="214">
        <f t="shared" ref="B14:L14" si="1">B13/1000</f>
        <v>15268.31395919014</v>
      </c>
      <c r="C14" s="214">
        <f t="shared" si="1"/>
        <v>15268.31395919014</v>
      </c>
      <c r="D14" s="214">
        <f t="shared" si="1"/>
        <v>12568.482765690096</v>
      </c>
      <c r="E14" s="214">
        <f t="shared" si="1"/>
        <v>12568.482765690096</v>
      </c>
      <c r="F14" s="214">
        <f t="shared" si="1"/>
        <v>12568.482765690096</v>
      </c>
      <c r="G14" s="214">
        <f t="shared" si="1"/>
        <v>12568.482765690096</v>
      </c>
      <c r="H14" s="214">
        <f t="shared" si="1"/>
        <v>12568.482765690096</v>
      </c>
      <c r="I14" s="214">
        <f t="shared" si="1"/>
        <v>12568.482765690096</v>
      </c>
      <c r="J14" s="214">
        <f t="shared" si="1"/>
        <v>12568.482765690096</v>
      </c>
      <c r="K14" s="214">
        <f t="shared" si="1"/>
        <v>12568.482765690096</v>
      </c>
      <c r="L14" s="214">
        <f t="shared" si="1"/>
        <v>131084.49004390102</v>
      </c>
      <c r="M14" s="163"/>
      <c r="N14" s="168"/>
      <c r="O14" s="147"/>
      <c r="P14" s="168"/>
      <c r="Q14" s="168"/>
      <c r="R14" s="168"/>
      <c r="S14" s="168"/>
      <c r="T14" s="168"/>
      <c r="U14" s="168"/>
      <c r="V14" s="168"/>
      <c r="W14" s="168"/>
      <c r="X14" s="342" t="s">
        <v>58</v>
      </c>
      <c r="Y14" s="342"/>
      <c r="Z14" s="342"/>
      <c r="AA14" s="150"/>
      <c r="AB14" s="343" t="s">
        <v>59</v>
      </c>
      <c r="AC14" s="343"/>
      <c r="AD14" s="343"/>
      <c r="AE14" s="150"/>
      <c r="AF14" s="342" t="s">
        <v>106</v>
      </c>
      <c r="AG14" s="342"/>
      <c r="AH14" s="342"/>
      <c r="AI14" s="342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</row>
    <row r="15" spans="1:67" s="155" customFormat="1" x14ac:dyDescent="0.35">
      <c r="A15" s="193" t="s">
        <v>64</v>
      </c>
      <c r="B15" s="215">
        <f t="shared" ref="B15:L15" si="2">B14*$X$3</f>
        <v>3572785.4664504929</v>
      </c>
      <c r="C15" s="215">
        <f t="shared" si="2"/>
        <v>3572785.4664504929</v>
      </c>
      <c r="D15" s="215">
        <f t="shared" si="2"/>
        <v>2941024.9671714823</v>
      </c>
      <c r="E15" s="215">
        <f t="shared" si="2"/>
        <v>2941024.9671714823</v>
      </c>
      <c r="F15" s="215">
        <f t="shared" si="2"/>
        <v>2941024.9671714823</v>
      </c>
      <c r="G15" s="215">
        <f t="shared" si="2"/>
        <v>2941024.9671714823</v>
      </c>
      <c r="H15" s="215">
        <f t="shared" si="2"/>
        <v>2941024.9671714823</v>
      </c>
      <c r="I15" s="215">
        <f t="shared" si="2"/>
        <v>2941024.9671714823</v>
      </c>
      <c r="J15" s="215">
        <f t="shared" si="2"/>
        <v>2941024.9671714823</v>
      </c>
      <c r="K15" s="215">
        <f t="shared" si="2"/>
        <v>2941024.9671714823</v>
      </c>
      <c r="L15" s="215">
        <f t="shared" si="2"/>
        <v>30673770.670272838</v>
      </c>
      <c r="M15" s="162"/>
      <c r="N15" s="168"/>
      <c r="O15" s="147"/>
      <c r="P15" s="168" t="s">
        <v>79</v>
      </c>
      <c r="Q15" s="168"/>
      <c r="R15" s="168" t="s">
        <v>78</v>
      </c>
      <c r="S15" s="168"/>
      <c r="T15" s="168"/>
      <c r="U15" s="168"/>
      <c r="V15" s="168"/>
      <c r="W15" s="168"/>
      <c r="X15" s="176" t="s">
        <v>77</v>
      </c>
      <c r="Y15" s="176" t="s">
        <v>76</v>
      </c>
      <c r="Z15" s="176" t="s">
        <v>75</v>
      </c>
      <c r="AA15" s="177"/>
      <c r="AB15" s="176" t="s">
        <v>77</v>
      </c>
      <c r="AC15" s="176" t="s">
        <v>76</v>
      </c>
      <c r="AD15" s="176" t="s">
        <v>75</v>
      </c>
      <c r="AE15" s="176"/>
      <c r="AF15" s="176" t="s">
        <v>77</v>
      </c>
      <c r="AG15" s="176" t="s">
        <v>76</v>
      </c>
      <c r="AH15" s="176" t="s">
        <v>75</v>
      </c>
      <c r="AI15" s="169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</row>
    <row r="16" spans="1:67" s="157" customFormat="1" ht="15" thickBot="1" x14ac:dyDescent="0.4">
      <c r="A16" s="193"/>
      <c r="B16" s="194"/>
      <c r="C16" s="194"/>
      <c r="D16" s="214"/>
      <c r="E16" s="194"/>
      <c r="F16" s="194"/>
      <c r="G16" s="194"/>
      <c r="H16" s="194"/>
      <c r="I16" s="194"/>
      <c r="J16" s="194"/>
      <c r="K16" s="194"/>
      <c r="L16" s="194"/>
      <c r="M16" s="164"/>
      <c r="N16" s="168"/>
      <c r="O16" s="147"/>
      <c r="P16" s="168" t="s">
        <v>74</v>
      </c>
      <c r="Q16" s="168" t="s">
        <v>73</v>
      </c>
      <c r="R16" s="168" t="s">
        <v>72</v>
      </c>
      <c r="S16" s="168"/>
      <c r="T16" s="168"/>
      <c r="U16" s="168"/>
      <c r="V16" s="168"/>
      <c r="W16" s="168"/>
      <c r="X16" s="176" t="s">
        <v>71</v>
      </c>
      <c r="Y16" s="176" t="s">
        <v>71</v>
      </c>
      <c r="Z16" s="176" t="s">
        <v>71</v>
      </c>
      <c r="AA16" s="177"/>
      <c r="AB16" s="176" t="s">
        <v>71</v>
      </c>
      <c r="AC16" s="176" t="s">
        <v>71</v>
      </c>
      <c r="AD16" s="176" t="s">
        <v>71</v>
      </c>
      <c r="AE16" s="176"/>
      <c r="AF16" s="176" t="s">
        <v>71</v>
      </c>
      <c r="AG16" s="176" t="s">
        <v>71</v>
      </c>
      <c r="AH16" s="176" t="s">
        <v>71</v>
      </c>
      <c r="AI16" s="169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</row>
    <row r="17" spans="1:67" ht="15" thickBot="1" x14ac:dyDescent="0.4">
      <c r="A17" s="197"/>
      <c r="B17" s="198"/>
      <c r="C17" s="198"/>
      <c r="D17" s="216"/>
      <c r="E17" s="198"/>
      <c r="F17" s="198"/>
      <c r="G17" s="198"/>
      <c r="H17" s="198"/>
      <c r="I17" s="198"/>
      <c r="J17" s="198"/>
      <c r="K17" s="198"/>
      <c r="L17" s="198"/>
      <c r="M17" s="159"/>
      <c r="O17" s="173" t="s">
        <v>70</v>
      </c>
      <c r="P17" s="172">
        <v>7756.2950000000001</v>
      </c>
      <c r="Q17" s="172">
        <v>517.5204</v>
      </c>
      <c r="R17" s="172">
        <v>4079</v>
      </c>
      <c r="S17" s="172"/>
      <c r="T17" s="172"/>
      <c r="U17" s="172"/>
      <c r="V17" s="172"/>
      <c r="W17" s="172"/>
      <c r="X17" s="174">
        <v>1699.2047244</v>
      </c>
      <c r="Y17" s="174">
        <v>554.74400000000003</v>
      </c>
      <c r="Z17" s="174">
        <v>2253.9487244000002</v>
      </c>
      <c r="AA17" s="175"/>
      <c r="AB17" s="174">
        <v>1693.5119999999999</v>
      </c>
      <c r="AC17" s="174">
        <v>509.875</v>
      </c>
      <c r="AD17" s="174">
        <v>2203.3869999999997</v>
      </c>
      <c r="AE17" s="175"/>
      <c r="AF17" s="174">
        <v>1675.398786</v>
      </c>
      <c r="AG17" s="174">
        <v>367.11</v>
      </c>
      <c r="AH17" s="174">
        <v>2042.5087859999999</v>
      </c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</row>
    <row r="18" spans="1:67" x14ac:dyDescent="0.35">
      <c r="A18" s="179"/>
      <c r="B18" s="179"/>
      <c r="C18" s="179"/>
      <c r="D18" s="212"/>
      <c r="E18" s="179"/>
      <c r="F18" s="179"/>
      <c r="G18" s="179"/>
      <c r="H18" s="179"/>
      <c r="I18" s="179"/>
      <c r="J18" s="179"/>
      <c r="K18" s="179"/>
      <c r="L18" s="179"/>
      <c r="M18" s="159"/>
      <c r="O18" s="173" t="s">
        <v>69</v>
      </c>
      <c r="P18" s="172">
        <v>5851</v>
      </c>
      <c r="Q18" s="172">
        <v>443</v>
      </c>
      <c r="R18" s="172">
        <v>3428</v>
      </c>
      <c r="S18" s="172"/>
      <c r="T18" s="172"/>
      <c r="U18" s="172"/>
      <c r="V18" s="172"/>
      <c r="W18" s="172"/>
      <c r="X18" s="174">
        <v>1288.9580000000001</v>
      </c>
      <c r="Y18" s="174">
        <v>466.20800000000003</v>
      </c>
      <c r="Z18" s="174">
        <v>1755.1660000000002</v>
      </c>
      <c r="AA18" s="175"/>
      <c r="AB18" s="174">
        <v>1284.085</v>
      </c>
      <c r="AC18" s="174">
        <v>428.5</v>
      </c>
      <c r="AD18" s="174">
        <v>1717.4580000000001</v>
      </c>
      <c r="AE18" s="175"/>
      <c r="AF18" s="174">
        <v>1268.58</v>
      </c>
      <c r="AG18" s="174">
        <v>308.52</v>
      </c>
      <c r="AH18" s="174">
        <v>1577.1</v>
      </c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</row>
    <row r="19" spans="1:67" x14ac:dyDescent="0.35">
      <c r="A19" s="179"/>
      <c r="B19" s="179"/>
      <c r="C19" s="179"/>
      <c r="D19" s="212"/>
      <c r="E19" s="179"/>
      <c r="F19" s="179"/>
      <c r="G19" s="179"/>
      <c r="H19" s="179"/>
      <c r="I19" s="179"/>
      <c r="J19" s="179"/>
      <c r="K19" s="179"/>
      <c r="L19" s="179"/>
      <c r="M19" s="159"/>
      <c r="O19" s="173" t="s">
        <v>65</v>
      </c>
      <c r="P19" s="172">
        <v>6404.3546999999999</v>
      </c>
      <c r="Q19" s="172">
        <v>466.53879999999998</v>
      </c>
      <c r="R19" s="172">
        <v>3428</v>
      </c>
      <c r="S19" s="172"/>
      <c r="T19" s="172"/>
      <c r="U19" s="172"/>
      <c r="V19" s="172"/>
      <c r="W19" s="172"/>
      <c r="X19" s="174">
        <v>1408.3637638</v>
      </c>
      <c r="Y19" s="174">
        <v>466.20800000000003</v>
      </c>
      <c r="Z19" s="174">
        <v>1874.5717638000001</v>
      </c>
      <c r="AA19" s="175"/>
      <c r="AB19" s="174">
        <v>1403.231837</v>
      </c>
      <c r="AC19" s="174">
        <v>428.5</v>
      </c>
      <c r="AD19" s="174">
        <v>1836.8637638</v>
      </c>
      <c r="AE19" s="175"/>
      <c r="AF19" s="174">
        <v>1386.902979</v>
      </c>
      <c r="AG19" s="174">
        <v>308.52</v>
      </c>
      <c r="AH19" s="174">
        <v>1695.4229789999999</v>
      </c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</row>
    <row r="20" spans="1:67" x14ac:dyDescent="0.35">
      <c r="A20" s="180" t="s">
        <v>0</v>
      </c>
      <c r="B20" s="182" t="s">
        <v>10</v>
      </c>
      <c r="C20" s="182" t="s">
        <v>11</v>
      </c>
      <c r="D20" s="209" t="s">
        <v>12</v>
      </c>
      <c r="E20" s="182" t="s">
        <v>13</v>
      </c>
      <c r="F20" s="182" t="s">
        <v>14</v>
      </c>
      <c r="G20" s="182" t="s">
        <v>15</v>
      </c>
      <c r="H20" s="182" t="s">
        <v>16</v>
      </c>
      <c r="I20" s="183" t="s">
        <v>17</v>
      </c>
      <c r="J20" s="184" t="s">
        <v>23</v>
      </c>
      <c r="K20" s="184" t="s">
        <v>24</v>
      </c>
      <c r="L20" s="185" t="s">
        <v>18</v>
      </c>
      <c r="M20" s="160"/>
      <c r="O20" s="173" t="s">
        <v>66</v>
      </c>
      <c r="P20" s="172">
        <v>3681.8650249999996</v>
      </c>
      <c r="Q20" s="172">
        <v>334.46890000000002</v>
      </c>
      <c r="R20" s="172">
        <v>2627</v>
      </c>
      <c r="S20" s="172"/>
      <c r="T20" s="172"/>
      <c r="U20" s="172"/>
      <c r="V20" s="172"/>
      <c r="W20" s="172"/>
      <c r="X20" s="174">
        <v>818.67942564999998</v>
      </c>
      <c r="Y20" s="174">
        <v>357.27200000000005</v>
      </c>
      <c r="Z20" s="174">
        <v>1175.9514256499999</v>
      </c>
      <c r="AA20" s="175">
        <v>0</v>
      </c>
      <c r="AB20" s="174">
        <v>815.00026774999992</v>
      </c>
      <c r="AC20" s="174">
        <v>328.375</v>
      </c>
      <c r="AD20" s="174">
        <v>1147.05442565</v>
      </c>
      <c r="AE20" s="175">
        <v>0</v>
      </c>
      <c r="AF20" s="174">
        <v>803.29385624999986</v>
      </c>
      <c r="AG20" s="174">
        <v>236.43</v>
      </c>
      <c r="AH20" s="174">
        <v>1039.7238562499999</v>
      </c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</row>
    <row r="21" spans="1:67" x14ac:dyDescent="0.35">
      <c r="A21" s="154" t="s">
        <v>27</v>
      </c>
      <c r="B21" s="199">
        <v>498</v>
      </c>
      <c r="C21" s="199">
        <v>498</v>
      </c>
      <c r="D21" s="217">
        <v>498</v>
      </c>
      <c r="E21" s="199">
        <v>498</v>
      </c>
      <c r="F21" s="199">
        <v>498</v>
      </c>
      <c r="G21" s="199">
        <v>498</v>
      </c>
      <c r="H21" s="199">
        <v>498</v>
      </c>
      <c r="I21" s="199">
        <v>498</v>
      </c>
      <c r="J21" s="199">
        <v>498</v>
      </c>
      <c r="K21" s="199">
        <v>498</v>
      </c>
      <c r="L21" s="200">
        <f>SUM(B21:K21)</f>
        <v>4980</v>
      </c>
      <c r="M21" s="159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</row>
    <row r="22" spans="1:67" x14ac:dyDescent="0.35">
      <c r="A22" s="187" t="s">
        <v>20</v>
      </c>
      <c r="B22" s="201">
        <f>'housing proportion projections'!L11</f>
        <v>109.82304921968787</v>
      </c>
      <c r="C22" s="201">
        <f>'housing proportion projections'!M11</f>
        <v>109.82304921968787</v>
      </c>
      <c r="D22" s="201">
        <f>'housing proportion projections'!N11</f>
        <v>109.82304921968787</v>
      </c>
      <c r="E22" s="201">
        <f>'housing proportion projections'!O11</f>
        <v>109.82304921968787</v>
      </c>
      <c r="F22" s="201">
        <f>'housing proportion projections'!P11</f>
        <v>109.82304921968787</v>
      </c>
      <c r="G22" s="201">
        <f>'housing proportion projections'!Q11</f>
        <v>109.82304921968787</v>
      </c>
      <c r="H22" s="201">
        <f>'housing proportion projections'!R11</f>
        <v>109.82304921968787</v>
      </c>
      <c r="I22" s="201">
        <f>'housing proportion projections'!S11</f>
        <v>109.82304921968787</v>
      </c>
      <c r="J22" s="201">
        <f>'housing proportion projections'!T11</f>
        <v>109.82304921968787</v>
      </c>
      <c r="K22" s="201">
        <f>'housing proportion projections'!U11</f>
        <v>109.82304921968787</v>
      </c>
      <c r="L22" s="200">
        <f t="shared" ref="L22:L25" si="3">SUM(B22:K22)</f>
        <v>1098.2304921968787</v>
      </c>
      <c r="M22" s="159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</row>
    <row r="23" spans="1:67" x14ac:dyDescent="0.35">
      <c r="A23" s="187" t="s">
        <v>21</v>
      </c>
      <c r="B23" s="201">
        <f>'housing proportion projections'!L12</f>
        <v>157.47082833133254</v>
      </c>
      <c r="C23" s="201">
        <f>'housing proportion projections'!M12</f>
        <v>157.47082833133254</v>
      </c>
      <c r="D23" s="201">
        <f>'housing proportion projections'!N12</f>
        <v>157.47082833133254</v>
      </c>
      <c r="E23" s="201">
        <f>'housing proportion projections'!O12</f>
        <v>157.47082833133254</v>
      </c>
      <c r="F23" s="201">
        <f>'housing proportion projections'!P12</f>
        <v>157.47082833133254</v>
      </c>
      <c r="G23" s="201">
        <f>'housing proportion projections'!Q12</f>
        <v>157.47082833133254</v>
      </c>
      <c r="H23" s="201">
        <f>'housing proportion projections'!R12</f>
        <v>157.47082833133254</v>
      </c>
      <c r="I23" s="201">
        <f>'housing proportion projections'!S12</f>
        <v>157.47082833133254</v>
      </c>
      <c r="J23" s="201">
        <f>'housing proportion projections'!T12</f>
        <v>157.47082833133254</v>
      </c>
      <c r="K23" s="201">
        <f>'housing proportion projections'!U12</f>
        <v>157.47082833133254</v>
      </c>
      <c r="L23" s="200">
        <f t="shared" si="3"/>
        <v>1574.7082833133254</v>
      </c>
      <c r="M23" s="159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</row>
    <row r="24" spans="1:67" s="158" customFormat="1" x14ac:dyDescent="0.35">
      <c r="A24" s="187" t="s">
        <v>26</v>
      </c>
      <c r="B24" s="201">
        <f>'housing proportion projections'!L13</f>
        <v>156.45450180072029</v>
      </c>
      <c r="C24" s="201">
        <f>'housing proportion projections'!M13</f>
        <v>156.45450180072029</v>
      </c>
      <c r="D24" s="201">
        <f>'housing proportion projections'!N13</f>
        <v>156.45450180072029</v>
      </c>
      <c r="E24" s="201">
        <f>'housing proportion projections'!O13</f>
        <v>156.45450180072029</v>
      </c>
      <c r="F24" s="201">
        <f>'housing proportion projections'!P13</f>
        <v>156.45450180072029</v>
      </c>
      <c r="G24" s="201">
        <f>'housing proportion projections'!Q13</f>
        <v>156.45450180072029</v>
      </c>
      <c r="H24" s="201">
        <f>'housing proportion projections'!R13</f>
        <v>156.45450180072029</v>
      </c>
      <c r="I24" s="201">
        <f>'housing proportion projections'!S13</f>
        <v>156.45450180072029</v>
      </c>
      <c r="J24" s="201">
        <f>'housing proportion projections'!T13</f>
        <v>156.45450180072029</v>
      </c>
      <c r="K24" s="201">
        <f>'housing proportion projections'!U13</f>
        <v>156.45450180072029</v>
      </c>
      <c r="L24" s="200">
        <f t="shared" si="3"/>
        <v>1564.5450180072028</v>
      </c>
      <c r="M24" s="167"/>
      <c r="N24" s="168"/>
      <c r="O24" s="147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51"/>
      <c r="AB24" s="168"/>
      <c r="AC24" s="168"/>
      <c r="AD24" s="168"/>
      <c r="AE24" s="151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</row>
    <row r="25" spans="1:67" ht="15.75" customHeight="1" thickBot="1" x14ac:dyDescent="0.4">
      <c r="A25" s="190" t="s">
        <v>22</v>
      </c>
      <c r="B25" s="201">
        <f>'housing proportion projections'!L14</f>
        <v>74.251620648259305</v>
      </c>
      <c r="C25" s="201">
        <f>'housing proportion projections'!M14</f>
        <v>74.251620648259305</v>
      </c>
      <c r="D25" s="201">
        <f>'housing proportion projections'!N14</f>
        <v>74.251620648259305</v>
      </c>
      <c r="E25" s="201">
        <f>'housing proportion projections'!O14</f>
        <v>74.251620648259305</v>
      </c>
      <c r="F25" s="201">
        <f>'housing proportion projections'!P14</f>
        <v>74.251620648259305</v>
      </c>
      <c r="G25" s="201">
        <f>'housing proportion projections'!Q14</f>
        <v>74.251620648259305</v>
      </c>
      <c r="H25" s="201">
        <f>'housing proportion projections'!R14</f>
        <v>74.251620648259305</v>
      </c>
      <c r="I25" s="201">
        <f>'housing proportion projections'!S14</f>
        <v>74.251620648259305</v>
      </c>
      <c r="J25" s="201">
        <f>'housing proportion projections'!T14</f>
        <v>74.251620648259305</v>
      </c>
      <c r="K25" s="201">
        <f>'housing proportion projections'!U14</f>
        <v>74.251620648259305</v>
      </c>
      <c r="L25" s="200">
        <f t="shared" si="3"/>
        <v>742.51620648259302</v>
      </c>
      <c r="M25" s="159"/>
      <c r="O25" s="344" t="s">
        <v>109</v>
      </c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171"/>
      <c r="AB25" s="344" t="s">
        <v>124</v>
      </c>
      <c r="AC25" s="344"/>
      <c r="AD25" s="344"/>
      <c r="AE25" s="171"/>
      <c r="AF25" s="345" t="s">
        <v>124</v>
      </c>
      <c r="AG25" s="345"/>
      <c r="AH25" s="345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</row>
    <row r="26" spans="1:67" s="156" customFormat="1" ht="15" thickBot="1" x14ac:dyDescent="0.4">
      <c r="A26" s="179"/>
      <c r="B26" s="179"/>
      <c r="C26" s="179"/>
      <c r="D26" s="212"/>
      <c r="E26" s="179"/>
      <c r="F26" s="179"/>
      <c r="G26" s="179"/>
      <c r="H26" s="179"/>
      <c r="I26" s="179"/>
      <c r="J26" s="179"/>
      <c r="K26" s="179"/>
      <c r="L26" s="179"/>
      <c r="M26" s="161"/>
      <c r="N26" s="168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171"/>
      <c r="AB26" s="344"/>
      <c r="AC26" s="344"/>
      <c r="AD26" s="344"/>
      <c r="AE26" s="171"/>
      <c r="AF26" s="345"/>
      <c r="AG26" s="345"/>
      <c r="AH26" s="345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  <c r="BI26" s="168"/>
      <c r="BJ26" s="168"/>
      <c r="BK26" s="168"/>
      <c r="BL26" s="168"/>
      <c r="BM26" s="168"/>
      <c r="BN26" s="168"/>
      <c r="BO26" s="168"/>
    </row>
    <row r="27" spans="1:67" s="155" customFormat="1" x14ac:dyDescent="0.35">
      <c r="A27" s="191" t="s">
        <v>134</v>
      </c>
      <c r="B27" s="192"/>
      <c r="C27" s="192"/>
      <c r="D27" s="213"/>
      <c r="E27" s="192"/>
      <c r="F27" s="192"/>
      <c r="G27" s="192"/>
      <c r="H27" s="192"/>
      <c r="I27" s="192"/>
      <c r="J27" s="192"/>
      <c r="K27" s="192"/>
      <c r="L27" s="192"/>
      <c r="M27" s="162"/>
      <c r="N27" s="168"/>
      <c r="O27" s="173" t="s">
        <v>70</v>
      </c>
      <c r="P27" s="172"/>
      <c r="Q27" s="172"/>
      <c r="R27" s="172"/>
      <c r="S27" s="172"/>
      <c r="T27" s="172"/>
      <c r="U27" s="172"/>
      <c r="V27" s="172"/>
      <c r="W27" s="172"/>
      <c r="X27" s="174">
        <f>X17-(X17*0.31)</f>
        <v>1172.4512598360002</v>
      </c>
      <c r="Y27" s="174"/>
      <c r="Z27" s="174"/>
      <c r="AA27" s="175"/>
      <c r="AB27" s="174">
        <f>AB17-(AB17*0.8)</f>
        <v>338.7023999999999</v>
      </c>
      <c r="AC27" s="174"/>
      <c r="AD27" s="174"/>
      <c r="AE27" s="175"/>
      <c r="AF27" s="174">
        <f>AF17-(AF17*0.8)</f>
        <v>335.0797571999999</v>
      </c>
      <c r="AG27" s="174"/>
      <c r="AH27" s="174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</row>
    <row r="28" spans="1:67" s="155" customFormat="1" x14ac:dyDescent="0.35">
      <c r="A28" s="193" t="s">
        <v>112</v>
      </c>
      <c r="B28" s="214">
        <f>30*((B22*$AC$17)+(B23*$AC$18)+(B24*$AC$19)+(B25*$AC$20))+'scenario 3'!B28</f>
        <v>10456359.867420865</v>
      </c>
      <c r="C28" s="214">
        <f>30*((C22*$AC$17)+(C23*$AC$18)+(C24*$AC$19)+(C25*$AC$20))+'scenario 3'!C28</f>
        <v>10456359.867420865</v>
      </c>
      <c r="D28" s="214">
        <f>30*((D22*$AG$17)+(D23*$AG$18)+(D24*$AG$19)+(D25*$AG$20))+'scenario 3'!D28</f>
        <v>8604109.7859421186</v>
      </c>
      <c r="E28" s="214">
        <f>30*((E22*$AG$17)+(E23*$AG$18)+(E24*$AG$19)+(E25*$AG$20))+'scenario 3'!E28</f>
        <v>8604109.7859421186</v>
      </c>
      <c r="F28" s="214">
        <f>30*((F22*$AG$17)+(F23*$AG$18)+(F24*$AG$19)+(F25*$AG$20))+'scenario 3'!F28</f>
        <v>8604109.7859421186</v>
      </c>
      <c r="G28" s="214">
        <f>30*((G22*$AG$17)+(G23*$AG$18)+(G24*$AG$19)+(G25*$AG$20))+'scenario 3'!G28</f>
        <v>8604109.7859421186</v>
      </c>
      <c r="H28" s="214">
        <f>30*((H22*$AG$17)+(H23*$AG$18)+(H24*$AG$19)+(H25*$AG$20))+'scenario 3'!H28</f>
        <v>8604109.7859421186</v>
      </c>
      <c r="I28" s="214">
        <f>30*((I22*$AG$17)+(I23*$AG$18)+(I24*$AG$19)+(I25*$AG$20))+'scenario 3'!I28</f>
        <v>8604109.7859421186</v>
      </c>
      <c r="J28" s="214">
        <f>30*((J22*$AG$17)+(J23*$AG$18)+(J24*$AG$19)+(J25*$AG$20))+'scenario 3'!J28</f>
        <v>8604109.7859421186</v>
      </c>
      <c r="K28" s="214">
        <f>30*((K22*$AG$17)+(K23*$AG$18)+(K24*$AG$19)+(K25*$AG$20))+'scenario 3'!K28</f>
        <v>8604109.7859421186</v>
      </c>
      <c r="L28" s="214">
        <f>SUM(B28:K28)</f>
        <v>89745598.022378698</v>
      </c>
      <c r="M28" s="163"/>
      <c r="N28" s="168"/>
      <c r="O28" s="173" t="s">
        <v>69</v>
      </c>
      <c r="P28" s="172"/>
      <c r="Q28" s="172"/>
      <c r="R28" s="172"/>
      <c r="S28" s="172"/>
      <c r="T28" s="172"/>
      <c r="U28" s="172"/>
      <c r="V28" s="172"/>
      <c r="W28" s="172"/>
      <c r="X28" s="174">
        <f t="shared" ref="X28:X30" si="4">X18-(X18*0.31)</f>
        <v>889.38102000000003</v>
      </c>
      <c r="Y28" s="174"/>
      <c r="Z28" s="174"/>
      <c r="AA28" s="175"/>
      <c r="AB28" s="174">
        <f>AB18-(AB18*0.8)</f>
        <v>256.81700000000001</v>
      </c>
      <c r="AC28" s="174"/>
      <c r="AD28" s="174"/>
      <c r="AE28" s="175"/>
      <c r="AF28" s="174">
        <f>AF18-(AF18*0.8)</f>
        <v>253.71599999999989</v>
      </c>
      <c r="AG28" s="174"/>
      <c r="AH28" s="174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8"/>
      <c r="BN28" s="168"/>
      <c r="BO28" s="168"/>
    </row>
    <row r="29" spans="1:67" s="155" customFormat="1" x14ac:dyDescent="0.35">
      <c r="A29" s="193" t="s">
        <v>113</v>
      </c>
      <c r="B29" s="214">
        <f t="shared" ref="B29" si="5">B28/1000</f>
        <v>10456.359867420866</v>
      </c>
      <c r="C29" s="214">
        <f t="shared" ref="C29" si="6">C28/1000</f>
        <v>10456.359867420866</v>
      </c>
      <c r="D29" s="214">
        <f t="shared" ref="D29" si="7">D28/1000</f>
        <v>8604.1097859421188</v>
      </c>
      <c r="E29" s="214">
        <f t="shared" ref="E29" si="8">E28/1000</f>
        <v>8604.1097859421188</v>
      </c>
      <c r="F29" s="214">
        <f t="shared" ref="F29" si="9">F28/1000</f>
        <v>8604.1097859421188</v>
      </c>
      <c r="G29" s="214">
        <f t="shared" ref="G29" si="10">G28/1000</f>
        <v>8604.1097859421188</v>
      </c>
      <c r="H29" s="214">
        <f t="shared" ref="H29" si="11">H28/1000</f>
        <v>8604.1097859421188</v>
      </c>
      <c r="I29" s="214">
        <f t="shared" ref="I29" si="12">I28/1000</f>
        <v>8604.1097859421188</v>
      </c>
      <c r="J29" s="214">
        <f t="shared" ref="J29" si="13">J28/1000</f>
        <v>8604.1097859421188</v>
      </c>
      <c r="K29" s="214">
        <f t="shared" ref="K29" si="14">K28/1000</f>
        <v>8604.1097859421188</v>
      </c>
      <c r="L29" s="214">
        <f t="shared" ref="L29" si="15">L28/1000</f>
        <v>89745.598022378705</v>
      </c>
      <c r="M29" s="162"/>
      <c r="N29" s="168"/>
      <c r="O29" s="173" t="s">
        <v>65</v>
      </c>
      <c r="P29" s="172"/>
      <c r="Q29" s="172"/>
      <c r="R29" s="172"/>
      <c r="S29" s="172"/>
      <c r="T29" s="172"/>
      <c r="U29" s="172"/>
      <c r="V29" s="172"/>
      <c r="W29" s="172"/>
      <c r="X29" s="174">
        <f t="shared" si="4"/>
        <v>971.77099702200007</v>
      </c>
      <c r="Y29" s="174"/>
      <c r="Z29" s="174"/>
      <c r="AA29" s="175"/>
      <c r="AB29" s="174">
        <f>AB19-(AB19*0.8)</f>
        <v>280.64636739999992</v>
      </c>
      <c r="AC29" s="174"/>
      <c r="AD29" s="174"/>
      <c r="AE29" s="175"/>
      <c r="AF29" s="174">
        <f>AF19-(AF19*0.8)</f>
        <v>277.38059580000004</v>
      </c>
      <c r="AG29" s="174"/>
      <c r="AH29" s="174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8"/>
      <c r="BH29" s="168"/>
      <c r="BI29" s="168"/>
      <c r="BJ29" s="168"/>
      <c r="BK29" s="168"/>
      <c r="BL29" s="168"/>
      <c r="BM29" s="168"/>
      <c r="BN29" s="168"/>
      <c r="BO29" s="168"/>
    </row>
    <row r="30" spans="1:67" s="157" customFormat="1" ht="15" thickBot="1" x14ac:dyDescent="0.4">
      <c r="A30" s="193" t="s">
        <v>64</v>
      </c>
      <c r="B30" s="215">
        <f t="shared" ref="B30:L30" si="16">B29*$X$3</f>
        <v>2446788.2089764825</v>
      </c>
      <c r="C30" s="215">
        <f t="shared" si="16"/>
        <v>2446788.2089764825</v>
      </c>
      <c r="D30" s="215">
        <f t="shared" si="16"/>
        <v>2013361.6899104558</v>
      </c>
      <c r="E30" s="215">
        <f t="shared" si="16"/>
        <v>2013361.6899104558</v>
      </c>
      <c r="F30" s="215">
        <f t="shared" si="16"/>
        <v>2013361.6899104558</v>
      </c>
      <c r="G30" s="215">
        <f t="shared" si="16"/>
        <v>2013361.6899104558</v>
      </c>
      <c r="H30" s="215">
        <f t="shared" si="16"/>
        <v>2013361.6899104558</v>
      </c>
      <c r="I30" s="215">
        <f t="shared" si="16"/>
        <v>2013361.6899104558</v>
      </c>
      <c r="J30" s="215">
        <f t="shared" si="16"/>
        <v>2013361.6899104558</v>
      </c>
      <c r="K30" s="215">
        <f t="shared" si="16"/>
        <v>2013361.6899104558</v>
      </c>
      <c r="L30" s="215">
        <f t="shared" si="16"/>
        <v>21000469.937236618</v>
      </c>
      <c r="M30" s="164"/>
      <c r="N30" s="168"/>
      <c r="O30" s="173" t="s">
        <v>66</v>
      </c>
      <c r="P30" s="172"/>
      <c r="Q30" s="172"/>
      <c r="R30" s="172"/>
      <c r="S30" s="172"/>
      <c r="T30" s="172"/>
      <c r="U30" s="172"/>
      <c r="V30" s="172"/>
      <c r="W30" s="172"/>
      <c r="X30" s="174">
        <f t="shared" si="4"/>
        <v>564.88880369849994</v>
      </c>
      <c r="Y30" s="174"/>
      <c r="Z30" s="174"/>
      <c r="AA30" s="175"/>
      <c r="AB30" s="174">
        <f>AB20-(AB20*0.8)</f>
        <v>163.00005354999996</v>
      </c>
      <c r="AC30" s="174"/>
      <c r="AD30" s="174"/>
      <c r="AE30" s="175"/>
      <c r="AF30" s="174">
        <f>AF20-(AF20*0.8)</f>
        <v>160.65877124999997</v>
      </c>
      <c r="AG30" s="174"/>
      <c r="AH30" s="174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</row>
    <row r="31" spans="1:67" ht="15.75" customHeight="1" x14ac:dyDescent="0.35">
      <c r="A31" s="193"/>
      <c r="B31" s="194"/>
      <c r="C31" s="194"/>
      <c r="D31" s="214"/>
      <c r="E31" s="194"/>
      <c r="F31" s="194"/>
      <c r="G31" s="194"/>
      <c r="H31" s="194"/>
      <c r="I31" s="194"/>
      <c r="J31" s="194"/>
      <c r="K31" s="194"/>
      <c r="L31" s="194"/>
      <c r="M31" s="159"/>
      <c r="O31" s="173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83"/>
      <c r="AB31" s="174"/>
      <c r="AC31" s="172"/>
      <c r="AD31" s="172"/>
      <c r="AE31" s="83"/>
      <c r="AF31" s="174"/>
      <c r="AG31" s="172"/>
      <c r="AH31" s="172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</row>
    <row r="32" spans="1:67" ht="15" thickBot="1" x14ac:dyDescent="0.4">
      <c r="A32" s="197"/>
      <c r="B32" s="198"/>
      <c r="C32" s="198"/>
      <c r="D32" s="216"/>
      <c r="E32" s="198"/>
      <c r="F32" s="198"/>
      <c r="G32" s="198"/>
      <c r="H32" s="198"/>
      <c r="I32" s="198"/>
      <c r="J32" s="198"/>
      <c r="K32" s="198"/>
      <c r="L32" s="198"/>
      <c r="M32" s="159"/>
      <c r="O32" s="173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83"/>
      <c r="AB32" s="172"/>
      <c r="AC32" s="172"/>
      <c r="AD32" s="172"/>
      <c r="AE32" s="83"/>
      <c r="AF32" s="172"/>
      <c r="AG32" s="172"/>
      <c r="AH32" s="172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</row>
    <row r="33" spans="1:67" x14ac:dyDescent="0.35">
      <c r="A33" s="187"/>
      <c r="B33" s="179"/>
      <c r="C33" s="179"/>
      <c r="D33" s="212"/>
      <c r="E33" s="179"/>
      <c r="F33" s="179"/>
      <c r="G33" s="179"/>
      <c r="H33" s="179"/>
      <c r="I33" s="179"/>
      <c r="J33" s="179"/>
      <c r="K33" s="179"/>
      <c r="L33" s="179"/>
      <c r="M33" s="159"/>
      <c r="O33" s="158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83"/>
      <c r="AB33" s="172"/>
      <c r="AC33" s="172"/>
      <c r="AD33" s="172"/>
      <c r="AE33" s="83"/>
      <c r="AF33" s="172"/>
      <c r="AG33" s="172"/>
      <c r="AH33" s="172"/>
      <c r="BF33" s="168"/>
      <c r="BG33" s="168"/>
      <c r="BH33" s="168"/>
      <c r="BI33" s="168"/>
      <c r="BJ33" s="168"/>
      <c r="BK33" s="168"/>
      <c r="BL33" s="168"/>
      <c r="BM33" s="168"/>
      <c r="BN33" s="168"/>
      <c r="BO33" s="168"/>
    </row>
    <row r="34" spans="1:67" x14ac:dyDescent="0.35">
      <c r="A34" s="187"/>
      <c r="B34" s="179"/>
      <c r="C34" s="179"/>
      <c r="D34" s="212"/>
      <c r="E34" s="179"/>
      <c r="F34" s="179"/>
      <c r="G34" s="179"/>
      <c r="H34" s="179"/>
      <c r="I34" s="179"/>
      <c r="J34" s="179"/>
      <c r="K34" s="179"/>
      <c r="L34" s="179"/>
      <c r="M34" s="160"/>
      <c r="BF34" s="168"/>
      <c r="BG34" s="168"/>
      <c r="BH34" s="168"/>
      <c r="BI34" s="168"/>
      <c r="BJ34" s="168"/>
      <c r="BK34" s="168"/>
      <c r="BL34" s="168"/>
      <c r="BM34" s="168"/>
      <c r="BN34" s="168"/>
      <c r="BO34" s="168"/>
    </row>
    <row r="35" spans="1:67" x14ac:dyDescent="0.35">
      <c r="A35" s="180" t="s">
        <v>0</v>
      </c>
      <c r="B35" s="182" t="s">
        <v>10</v>
      </c>
      <c r="C35" s="182" t="s">
        <v>11</v>
      </c>
      <c r="D35" s="209" t="s">
        <v>12</v>
      </c>
      <c r="E35" s="182" t="s">
        <v>13</v>
      </c>
      <c r="F35" s="182" t="s">
        <v>14</v>
      </c>
      <c r="G35" s="182" t="s">
        <v>15</v>
      </c>
      <c r="H35" s="182" t="s">
        <v>16</v>
      </c>
      <c r="I35" s="183" t="s">
        <v>17</v>
      </c>
      <c r="J35" s="184" t="s">
        <v>23</v>
      </c>
      <c r="K35" s="184" t="s">
        <v>24</v>
      </c>
      <c r="L35" s="185" t="s">
        <v>18</v>
      </c>
      <c r="M35" s="159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</row>
    <row r="36" spans="1:67" x14ac:dyDescent="0.35">
      <c r="A36" s="154" t="s">
        <v>53</v>
      </c>
      <c r="B36" s="199">
        <v>2870</v>
      </c>
      <c r="C36" s="199">
        <v>2870</v>
      </c>
      <c r="D36" s="217">
        <v>2870</v>
      </c>
      <c r="E36" s="199">
        <v>2870</v>
      </c>
      <c r="F36" s="199">
        <v>2870</v>
      </c>
      <c r="G36" s="199">
        <v>2870</v>
      </c>
      <c r="H36" s="199">
        <v>2870</v>
      </c>
      <c r="I36" s="199">
        <v>2870</v>
      </c>
      <c r="J36" s="199">
        <v>2870</v>
      </c>
      <c r="K36" s="199">
        <v>2870</v>
      </c>
      <c r="L36" s="200">
        <f>SUM(B36:K36)</f>
        <v>28700</v>
      </c>
      <c r="M36" s="159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</row>
    <row r="37" spans="1:67" x14ac:dyDescent="0.35">
      <c r="A37" s="187" t="s">
        <v>20</v>
      </c>
      <c r="B37" s="201">
        <f>'housing proportion projections'!L16</f>
        <v>112.33585858585859</v>
      </c>
      <c r="C37" s="201">
        <f>'housing proportion projections'!M16</f>
        <v>112.33585858585859</v>
      </c>
      <c r="D37" s="201">
        <f>'housing proportion projections'!N16</f>
        <v>112.33585858585859</v>
      </c>
      <c r="E37" s="201">
        <f>'housing proportion projections'!O16</f>
        <v>112.33585858585859</v>
      </c>
      <c r="F37" s="201">
        <f>'housing proportion projections'!P16</f>
        <v>112.33585858585859</v>
      </c>
      <c r="G37" s="201">
        <f>'housing proportion projections'!Q16</f>
        <v>112.33585858585859</v>
      </c>
      <c r="H37" s="201">
        <f>'housing proportion projections'!R16</f>
        <v>112.33585858585859</v>
      </c>
      <c r="I37" s="201">
        <f>'housing proportion projections'!S16</f>
        <v>112.33585858585859</v>
      </c>
      <c r="J37" s="201">
        <f>'housing proportion projections'!T16</f>
        <v>112.33585858585859</v>
      </c>
      <c r="K37" s="201">
        <f>'housing proportion projections'!U16</f>
        <v>112.33585858585859</v>
      </c>
      <c r="L37" s="200">
        <f t="shared" ref="L37:L40" si="17">SUM(B37:K37)</f>
        <v>1123.3585858585857</v>
      </c>
      <c r="M37" s="159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</row>
    <row r="38" spans="1:67" s="158" customFormat="1" x14ac:dyDescent="0.35">
      <c r="A38" s="187" t="s">
        <v>21</v>
      </c>
      <c r="B38" s="201">
        <f>'housing proportion projections'!L17</f>
        <v>694.13314176245206</v>
      </c>
      <c r="C38" s="201">
        <f>'housing proportion projections'!M17</f>
        <v>694.13314176245206</v>
      </c>
      <c r="D38" s="201">
        <f>'housing proportion projections'!N17</f>
        <v>694.13314176245206</v>
      </c>
      <c r="E38" s="201">
        <f>'housing proportion projections'!O17</f>
        <v>694.13314176245206</v>
      </c>
      <c r="F38" s="201">
        <f>'housing proportion projections'!P17</f>
        <v>694.13314176245206</v>
      </c>
      <c r="G38" s="201">
        <f>'housing proportion projections'!Q17</f>
        <v>694.13314176245206</v>
      </c>
      <c r="H38" s="201">
        <f>'housing proportion projections'!R17</f>
        <v>694.13314176245206</v>
      </c>
      <c r="I38" s="201">
        <f>'housing proportion projections'!S17</f>
        <v>694.13314176245206</v>
      </c>
      <c r="J38" s="201">
        <f>'housing proportion projections'!T17</f>
        <v>694.13314176245206</v>
      </c>
      <c r="K38" s="201">
        <f>'housing proportion projections'!U17</f>
        <v>694.13314176245206</v>
      </c>
      <c r="L38" s="200">
        <f t="shared" si="17"/>
        <v>6941.3314176245221</v>
      </c>
      <c r="M38" s="167"/>
      <c r="N38" s="168"/>
      <c r="O38" s="147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51"/>
      <c r="AB38" s="168"/>
      <c r="AC38" s="168"/>
      <c r="AD38" s="168"/>
      <c r="AE38" s="151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</row>
    <row r="39" spans="1:67" ht="15" thickBot="1" x14ac:dyDescent="0.4">
      <c r="A39" s="187" t="s">
        <v>26</v>
      </c>
      <c r="B39" s="201">
        <f>'housing proportion projections'!L18</f>
        <v>999.02690700104483</v>
      </c>
      <c r="C39" s="201">
        <f>'housing proportion projections'!M18</f>
        <v>999.02690700104483</v>
      </c>
      <c r="D39" s="201">
        <f>'housing proportion projections'!N18</f>
        <v>999.02690700104483</v>
      </c>
      <c r="E39" s="201">
        <f>'housing proportion projections'!O18</f>
        <v>999.02690700104483</v>
      </c>
      <c r="F39" s="201">
        <f>'housing proportion projections'!P18</f>
        <v>999.02690700104483</v>
      </c>
      <c r="G39" s="201">
        <f>'housing proportion projections'!Q18</f>
        <v>999.02690700104483</v>
      </c>
      <c r="H39" s="201">
        <f>'housing proportion projections'!R18</f>
        <v>999.02690700104483</v>
      </c>
      <c r="I39" s="201">
        <f>'housing proportion projections'!S18</f>
        <v>999.02690700104483</v>
      </c>
      <c r="J39" s="201">
        <f>'housing proportion projections'!T18</f>
        <v>999.02690700104483</v>
      </c>
      <c r="K39" s="201">
        <f>'housing proportion projections'!U18</f>
        <v>999.02690700104483</v>
      </c>
      <c r="L39" s="200">
        <f t="shared" si="17"/>
        <v>9990.2690700104486</v>
      </c>
      <c r="M39" s="159"/>
      <c r="BF39" s="168"/>
      <c r="BG39" s="168"/>
      <c r="BH39" s="168"/>
      <c r="BI39" s="168"/>
      <c r="BJ39" s="168"/>
      <c r="BK39" s="168"/>
      <c r="BL39" s="168"/>
      <c r="BM39" s="168"/>
      <c r="BN39" s="168"/>
      <c r="BO39" s="168"/>
    </row>
    <row r="40" spans="1:67" s="156" customFormat="1" x14ac:dyDescent="0.35">
      <c r="A40" s="190" t="s">
        <v>22</v>
      </c>
      <c r="B40" s="201">
        <f>'housing proportion projections'!L19</f>
        <v>1064.6290491118077</v>
      </c>
      <c r="C40" s="201">
        <f>'housing proportion projections'!M19</f>
        <v>1064.6290491118077</v>
      </c>
      <c r="D40" s="201">
        <f>'housing proportion projections'!N19</f>
        <v>1064.6290491118077</v>
      </c>
      <c r="E40" s="201">
        <f>'housing proportion projections'!O19</f>
        <v>1064.6290491118077</v>
      </c>
      <c r="F40" s="201">
        <f>'housing proportion projections'!P19</f>
        <v>1064.6290491118077</v>
      </c>
      <c r="G40" s="201">
        <f>'housing proportion projections'!Q19</f>
        <v>1064.6290491118077</v>
      </c>
      <c r="H40" s="201">
        <f>'housing proportion projections'!R19</f>
        <v>1064.6290491118077</v>
      </c>
      <c r="I40" s="201">
        <f>'housing proportion projections'!S19</f>
        <v>1064.6290491118077</v>
      </c>
      <c r="J40" s="201">
        <f>'housing proportion projections'!T19</f>
        <v>1064.6290491118077</v>
      </c>
      <c r="K40" s="201">
        <f>'housing proportion projections'!U19</f>
        <v>1064.6290491118077</v>
      </c>
      <c r="L40" s="200">
        <f t="shared" si="17"/>
        <v>10646.290491118076</v>
      </c>
      <c r="M40" s="161"/>
      <c r="N40" s="168"/>
      <c r="O40" s="147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51"/>
      <c r="AB40" s="168"/>
      <c r="AC40" s="168"/>
      <c r="AD40" s="168"/>
      <c r="AE40" s="151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8"/>
      <c r="BC40" s="168"/>
      <c r="BD40" s="168"/>
      <c r="BE40" s="168"/>
      <c r="BF40" s="168"/>
      <c r="BG40" s="168"/>
      <c r="BH40" s="168"/>
      <c r="BI40" s="168"/>
      <c r="BJ40" s="168"/>
      <c r="BK40" s="168"/>
      <c r="BL40" s="168"/>
      <c r="BM40" s="168"/>
      <c r="BN40" s="168"/>
      <c r="BO40" s="168"/>
    </row>
    <row r="41" spans="1:67" s="155" customFormat="1" ht="15" thickBot="1" x14ac:dyDescent="0.4">
      <c r="A41" s="179"/>
      <c r="B41" s="179"/>
      <c r="C41" s="179"/>
      <c r="D41" s="212"/>
      <c r="E41" s="179"/>
      <c r="F41" s="179"/>
      <c r="G41" s="179"/>
      <c r="H41" s="179"/>
      <c r="I41" s="179"/>
      <c r="J41" s="179"/>
      <c r="K41" s="179"/>
      <c r="L41" s="179"/>
      <c r="M41" s="162"/>
      <c r="N41" s="168"/>
      <c r="O41" s="147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51"/>
      <c r="AB41" s="168"/>
      <c r="AC41" s="168"/>
      <c r="AD41" s="168"/>
      <c r="AE41" s="151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68"/>
      <c r="BD41" s="168"/>
      <c r="BE41" s="168"/>
      <c r="BF41" s="168"/>
      <c r="BG41" s="168"/>
      <c r="BH41" s="168"/>
      <c r="BI41" s="168"/>
      <c r="BJ41" s="168"/>
      <c r="BK41" s="168"/>
      <c r="BL41" s="168"/>
      <c r="BM41" s="168"/>
      <c r="BN41" s="168"/>
      <c r="BO41" s="168"/>
    </row>
    <row r="42" spans="1:67" s="155" customFormat="1" x14ac:dyDescent="0.35">
      <c r="A42" s="191" t="s">
        <v>134</v>
      </c>
      <c r="B42" s="192"/>
      <c r="C42" s="192"/>
      <c r="D42" s="213"/>
      <c r="E42" s="192"/>
      <c r="F42" s="192"/>
      <c r="G42" s="192"/>
      <c r="H42" s="192"/>
      <c r="I42" s="192"/>
      <c r="J42" s="192"/>
      <c r="K42" s="192"/>
      <c r="L42" s="192"/>
      <c r="M42" s="163"/>
      <c r="N42" s="168"/>
      <c r="O42" s="147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51"/>
      <c r="AB42" s="168"/>
      <c r="AC42" s="168"/>
      <c r="AD42" s="168"/>
      <c r="AE42" s="151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68"/>
      <c r="BD42" s="168"/>
      <c r="BE42" s="168"/>
      <c r="BF42" s="168"/>
      <c r="BG42" s="168"/>
      <c r="BH42" s="168"/>
      <c r="BI42" s="168"/>
      <c r="BJ42" s="168"/>
      <c r="BK42" s="168"/>
      <c r="BL42" s="168"/>
      <c r="BM42" s="168"/>
      <c r="BN42" s="168"/>
      <c r="BO42" s="168"/>
    </row>
    <row r="43" spans="1:67" s="155" customFormat="1" x14ac:dyDescent="0.35">
      <c r="A43" s="193" t="s">
        <v>112</v>
      </c>
      <c r="B43" s="214">
        <f>30*((B37*$AC$17)+(B38*$AC$18)+(B39*$AC$19)+(B40*$AC$20))+'scenario 3'!B43</f>
        <v>54078461.135148674</v>
      </c>
      <c r="C43" s="214">
        <f>30*((C37*$AC$17)+(C38*$AC$18)+(C39*$AC$19)+(C40*$AC$20))+'scenario 3'!C43</f>
        <v>54078461.135148674</v>
      </c>
      <c r="D43" s="214">
        <f>30*((D37*$AG$17)+(D38*$AG$18)+(D39*$AG$19)+(D40*$AG$20))+'scenario 3'!D43</f>
        <v>44316912.940146558</v>
      </c>
      <c r="E43" s="214">
        <f>30*((E37*$AG$17)+(E38*$AG$18)+(E39*$AG$19)+(E40*$AG$20))+'scenario 3'!E43</f>
        <v>44316912.940146558</v>
      </c>
      <c r="F43" s="214">
        <f>30*((F37*$AG$17)+(F38*$AG$18)+(F39*$AG$19)+(F40*$AG$20))+'scenario 3'!F43</f>
        <v>44316912.940146558</v>
      </c>
      <c r="G43" s="214">
        <f>30*((G37*$AG$17)+(G38*$AG$18)+(G39*$AG$19)+(G40*$AG$20))+'scenario 3'!G43</f>
        <v>44316912.940146558</v>
      </c>
      <c r="H43" s="214">
        <f>30*((H37*$AG$17)+(H38*$AG$18)+(H39*$AG$19)+(H40*$AG$20))+'scenario 3'!H43</f>
        <v>44316912.940146558</v>
      </c>
      <c r="I43" s="214">
        <f>30*((I37*$AG$17)+(I38*$AG$18)+(I39*$AG$19)+(I40*$AG$20))+'scenario 3'!I43</f>
        <v>44316912.940146558</v>
      </c>
      <c r="J43" s="214">
        <f>30*((J37*$AG$17)+(J38*$AG$18)+(J39*$AG$19)+(J40*$AG$20))+'scenario 3'!J43</f>
        <v>44316912.940146558</v>
      </c>
      <c r="K43" s="214">
        <f>30*((K37*$AG$17)+(K38*$AG$18)+(K39*$AG$19)+(K40*$AG$20))+'scenario 3'!K43</f>
        <v>44316912.940146558</v>
      </c>
      <c r="L43" s="214">
        <f>SUM(B43:K43)</f>
        <v>462692225.79146987</v>
      </c>
      <c r="M43" s="162"/>
      <c r="N43" s="168"/>
      <c r="O43" s="147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51"/>
      <c r="AB43" s="168"/>
      <c r="AC43" s="168"/>
      <c r="AD43" s="168"/>
      <c r="AE43" s="151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68"/>
      <c r="BD43" s="168"/>
      <c r="BE43" s="168"/>
      <c r="BF43" s="168"/>
      <c r="BG43" s="168"/>
      <c r="BH43" s="168"/>
      <c r="BI43" s="168"/>
      <c r="BJ43" s="168"/>
      <c r="BK43" s="168"/>
      <c r="BL43" s="168"/>
      <c r="BM43" s="168"/>
      <c r="BN43" s="168"/>
      <c r="BO43" s="168"/>
    </row>
    <row r="44" spans="1:67" s="157" customFormat="1" ht="15" thickBot="1" x14ac:dyDescent="0.4">
      <c r="A44" s="193" t="s">
        <v>113</v>
      </c>
      <c r="B44" s="214">
        <f t="shared" ref="B44" si="18">B43/1000</f>
        <v>54078.461135148675</v>
      </c>
      <c r="C44" s="214">
        <f t="shared" ref="C44" si="19">C43/1000</f>
        <v>54078.461135148675</v>
      </c>
      <c r="D44" s="214">
        <f t="shared" ref="D44" si="20">D43/1000</f>
        <v>44316.912940146562</v>
      </c>
      <c r="E44" s="214">
        <f t="shared" ref="E44" si="21">E43/1000</f>
        <v>44316.912940146562</v>
      </c>
      <c r="F44" s="214">
        <f t="shared" ref="F44" si="22">F43/1000</f>
        <v>44316.912940146562</v>
      </c>
      <c r="G44" s="214">
        <f t="shared" ref="G44" si="23">G43/1000</f>
        <v>44316.912940146562</v>
      </c>
      <c r="H44" s="214">
        <f t="shared" ref="H44" si="24">H43/1000</f>
        <v>44316.912940146562</v>
      </c>
      <c r="I44" s="214">
        <f t="shared" ref="I44" si="25">I43/1000</f>
        <v>44316.912940146562</v>
      </c>
      <c r="J44" s="214">
        <f t="shared" ref="J44" si="26">J43/1000</f>
        <v>44316.912940146562</v>
      </c>
      <c r="K44" s="214">
        <f t="shared" ref="K44" si="27">K43/1000</f>
        <v>44316.912940146562</v>
      </c>
      <c r="L44" s="214">
        <f t="shared" ref="L44" si="28">L43/1000</f>
        <v>462692.22579146986</v>
      </c>
      <c r="M44" s="164"/>
      <c r="N44" s="168"/>
      <c r="O44" s="147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51"/>
      <c r="AB44" s="168"/>
      <c r="AC44" s="168"/>
      <c r="AD44" s="168"/>
      <c r="AE44" s="151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</row>
    <row r="45" spans="1:67" x14ac:dyDescent="0.35">
      <c r="A45" s="193" t="s">
        <v>64</v>
      </c>
      <c r="B45" s="215">
        <f t="shared" ref="B45:L45" si="29">B44*$X$3</f>
        <v>12654359.90562479</v>
      </c>
      <c r="C45" s="215">
        <f t="shared" si="29"/>
        <v>12654359.90562479</v>
      </c>
      <c r="D45" s="215">
        <f t="shared" si="29"/>
        <v>10370157.627994295</v>
      </c>
      <c r="E45" s="215">
        <f t="shared" si="29"/>
        <v>10370157.627994295</v>
      </c>
      <c r="F45" s="215">
        <f t="shared" si="29"/>
        <v>10370157.627994295</v>
      </c>
      <c r="G45" s="215">
        <f t="shared" si="29"/>
        <v>10370157.627994295</v>
      </c>
      <c r="H45" s="215">
        <f t="shared" si="29"/>
        <v>10370157.627994295</v>
      </c>
      <c r="I45" s="215">
        <f t="shared" si="29"/>
        <v>10370157.627994295</v>
      </c>
      <c r="J45" s="215">
        <f t="shared" si="29"/>
        <v>10370157.627994295</v>
      </c>
      <c r="K45" s="215">
        <f t="shared" si="29"/>
        <v>10370157.627994295</v>
      </c>
      <c r="L45" s="215">
        <f t="shared" si="29"/>
        <v>108269980.83520395</v>
      </c>
      <c r="M45" s="159"/>
      <c r="BF45" s="168"/>
      <c r="BG45" s="168"/>
      <c r="BH45" s="168"/>
      <c r="BI45" s="168"/>
      <c r="BJ45" s="168"/>
      <c r="BK45" s="168"/>
      <c r="BL45" s="168"/>
      <c r="BM45" s="168"/>
      <c r="BN45" s="168"/>
      <c r="BO45" s="168"/>
    </row>
    <row r="46" spans="1:67" x14ac:dyDescent="0.35">
      <c r="A46" s="193"/>
      <c r="B46" s="194"/>
      <c r="C46" s="194"/>
      <c r="D46" s="214"/>
      <c r="E46" s="194"/>
      <c r="F46" s="194"/>
      <c r="G46" s="194"/>
      <c r="H46" s="194"/>
      <c r="I46" s="194"/>
      <c r="J46" s="194"/>
      <c r="K46" s="194"/>
      <c r="L46" s="194"/>
      <c r="M46" s="159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</row>
    <row r="47" spans="1:67" ht="15" thickBot="1" x14ac:dyDescent="0.4">
      <c r="A47" s="197"/>
      <c r="B47" s="198"/>
      <c r="C47" s="198"/>
      <c r="D47" s="216"/>
      <c r="E47" s="198"/>
      <c r="F47" s="198"/>
      <c r="G47" s="198"/>
      <c r="H47" s="198"/>
      <c r="I47" s="198"/>
      <c r="J47" s="198"/>
      <c r="K47" s="198"/>
      <c r="L47" s="198"/>
      <c r="M47" s="159"/>
      <c r="BF47" s="168"/>
      <c r="BG47" s="168"/>
      <c r="BH47" s="168"/>
      <c r="BI47" s="168"/>
      <c r="BJ47" s="168"/>
      <c r="BK47" s="168"/>
      <c r="BL47" s="168"/>
      <c r="BM47" s="168"/>
      <c r="BN47" s="168"/>
      <c r="BO47" s="168"/>
    </row>
    <row r="48" spans="1:67" x14ac:dyDescent="0.35">
      <c r="A48" s="154"/>
      <c r="B48" s="179"/>
      <c r="C48" s="179"/>
      <c r="D48" s="212"/>
      <c r="E48" s="179"/>
      <c r="F48" s="179"/>
      <c r="G48" s="179"/>
      <c r="H48" s="179"/>
      <c r="I48" s="179"/>
      <c r="J48" s="179"/>
      <c r="K48" s="179"/>
      <c r="L48" s="179"/>
      <c r="M48" s="160"/>
      <c r="BF48" s="168"/>
      <c r="BG48" s="168"/>
      <c r="BH48" s="168"/>
      <c r="BI48" s="168"/>
      <c r="BJ48" s="168"/>
      <c r="BK48" s="168"/>
      <c r="BL48" s="168"/>
      <c r="BM48" s="168"/>
      <c r="BN48" s="168"/>
      <c r="BO48" s="168"/>
    </row>
    <row r="49" spans="1:67" x14ac:dyDescent="0.35">
      <c r="A49" s="204"/>
      <c r="B49" s="179"/>
      <c r="C49" s="179"/>
      <c r="D49" s="212"/>
      <c r="E49" s="179"/>
      <c r="F49" s="179"/>
      <c r="G49" s="179"/>
      <c r="H49" s="179"/>
      <c r="I49" s="179"/>
      <c r="J49" s="179"/>
      <c r="K49" s="179"/>
      <c r="L49" s="179"/>
      <c r="M49" s="159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</row>
    <row r="50" spans="1:67" x14ac:dyDescent="0.35">
      <c r="A50" s="180" t="s">
        <v>0</v>
      </c>
      <c r="B50" s="182" t="s">
        <v>10</v>
      </c>
      <c r="C50" s="182" t="s">
        <v>11</v>
      </c>
      <c r="D50" s="209" t="s">
        <v>12</v>
      </c>
      <c r="E50" s="182" t="s">
        <v>13</v>
      </c>
      <c r="F50" s="182" t="s">
        <v>14</v>
      </c>
      <c r="G50" s="182" t="s">
        <v>15</v>
      </c>
      <c r="H50" s="182" t="s">
        <v>16</v>
      </c>
      <c r="I50" s="183" t="s">
        <v>17</v>
      </c>
      <c r="J50" s="184" t="s">
        <v>23</v>
      </c>
      <c r="K50" s="184" t="s">
        <v>24</v>
      </c>
      <c r="L50" s="185" t="s">
        <v>18</v>
      </c>
      <c r="M50" s="159"/>
      <c r="BF50" s="168"/>
      <c r="BG50" s="168"/>
      <c r="BH50" s="168"/>
      <c r="BI50" s="168"/>
      <c r="BJ50" s="168"/>
      <c r="BK50" s="168"/>
      <c r="BL50" s="168"/>
      <c r="BM50" s="168"/>
      <c r="BN50" s="168"/>
      <c r="BO50" s="168"/>
    </row>
    <row r="51" spans="1:67" x14ac:dyDescent="0.35">
      <c r="A51" s="154" t="s">
        <v>29</v>
      </c>
      <c r="B51" s="199">
        <v>752</v>
      </c>
      <c r="C51" s="199">
        <v>752</v>
      </c>
      <c r="D51" s="217">
        <v>752</v>
      </c>
      <c r="E51" s="199">
        <v>752</v>
      </c>
      <c r="F51" s="199">
        <v>752</v>
      </c>
      <c r="G51" s="199">
        <v>752</v>
      </c>
      <c r="H51" s="199">
        <v>752</v>
      </c>
      <c r="I51" s="199">
        <v>752</v>
      </c>
      <c r="J51" s="199">
        <v>752</v>
      </c>
      <c r="K51" s="199">
        <v>752</v>
      </c>
      <c r="L51" s="200">
        <f>SUM(B51:K51)</f>
        <v>7520</v>
      </c>
      <c r="M51" s="159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</row>
    <row r="52" spans="1:67" s="158" customFormat="1" x14ac:dyDescent="0.35">
      <c r="A52" s="187" t="s">
        <v>20</v>
      </c>
      <c r="B52" s="201">
        <f>'housing proportion projections'!L21</f>
        <v>138.12725942952667</v>
      </c>
      <c r="C52" s="201">
        <f>'housing proportion projections'!M21</f>
        <v>138.12725942952667</v>
      </c>
      <c r="D52" s="201">
        <f>'housing proportion projections'!N21</f>
        <v>138.12725942952667</v>
      </c>
      <c r="E52" s="201">
        <f>'housing proportion projections'!O21</f>
        <v>138.12725942952667</v>
      </c>
      <c r="F52" s="201">
        <f>'housing proportion projections'!P21</f>
        <v>138.12725942952667</v>
      </c>
      <c r="G52" s="201">
        <f>'housing proportion projections'!Q21</f>
        <v>138.12725942952667</v>
      </c>
      <c r="H52" s="201">
        <f>'housing proportion projections'!R21</f>
        <v>138.12725942952667</v>
      </c>
      <c r="I52" s="201">
        <f>'housing proportion projections'!S21</f>
        <v>138.12725942952667</v>
      </c>
      <c r="J52" s="201">
        <f>'housing proportion projections'!T21</f>
        <v>138.12725942952667</v>
      </c>
      <c r="K52" s="201">
        <f>'housing proportion projections'!U21</f>
        <v>138.12725942952667</v>
      </c>
      <c r="L52" s="200">
        <f t="shared" ref="L52:L55" si="30">SUM(B52:K52)</f>
        <v>1381.2725942952668</v>
      </c>
      <c r="M52" s="167"/>
      <c r="N52" s="168"/>
      <c r="O52" s="147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51"/>
      <c r="AB52" s="168"/>
      <c r="AC52" s="168"/>
      <c r="AD52" s="168"/>
      <c r="AE52" s="151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</row>
    <row r="53" spans="1:67" ht="15.75" customHeight="1" thickBot="1" x14ac:dyDescent="0.4">
      <c r="A53" s="187" t="s">
        <v>21</v>
      </c>
      <c r="B53" s="201">
        <f>'housing proportion projections'!L22</f>
        <v>183.85539651029151</v>
      </c>
      <c r="C53" s="201">
        <f>'housing proportion projections'!M22</f>
        <v>183.85539651029151</v>
      </c>
      <c r="D53" s="201">
        <f>'housing proportion projections'!N22</f>
        <v>183.85539651029151</v>
      </c>
      <c r="E53" s="201">
        <f>'housing proportion projections'!O22</f>
        <v>183.85539651029151</v>
      </c>
      <c r="F53" s="201">
        <f>'housing proportion projections'!P22</f>
        <v>183.85539651029151</v>
      </c>
      <c r="G53" s="201">
        <f>'housing proportion projections'!Q22</f>
        <v>183.85539651029151</v>
      </c>
      <c r="H53" s="201">
        <f>'housing proportion projections'!R22</f>
        <v>183.85539651029151</v>
      </c>
      <c r="I53" s="201">
        <f>'housing proportion projections'!S22</f>
        <v>183.85539651029151</v>
      </c>
      <c r="J53" s="201">
        <f>'housing proportion projections'!T22</f>
        <v>183.85539651029151</v>
      </c>
      <c r="K53" s="201">
        <f>'housing proportion projections'!U22</f>
        <v>183.85539651029151</v>
      </c>
      <c r="L53" s="200">
        <f t="shared" si="30"/>
        <v>1838.5539651029151</v>
      </c>
      <c r="M53" s="159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</row>
    <row r="54" spans="1:67" s="156" customFormat="1" x14ac:dyDescent="0.35">
      <c r="A54" s="187" t="s">
        <v>26</v>
      </c>
      <c r="B54" s="201">
        <f>'housing proportion projections'!L23</f>
        <v>333.06112213979731</v>
      </c>
      <c r="C54" s="201">
        <f>'housing proportion projections'!M23</f>
        <v>333.06112213979731</v>
      </c>
      <c r="D54" s="201">
        <f>'housing proportion projections'!N23</f>
        <v>333.06112213979731</v>
      </c>
      <c r="E54" s="201">
        <f>'housing proportion projections'!O23</f>
        <v>333.06112213979731</v>
      </c>
      <c r="F54" s="201">
        <f>'housing proportion projections'!P23</f>
        <v>333.06112213979731</v>
      </c>
      <c r="G54" s="201">
        <f>'housing proportion projections'!Q23</f>
        <v>333.06112213979731</v>
      </c>
      <c r="H54" s="201">
        <f>'housing proportion projections'!R23</f>
        <v>333.06112213979731</v>
      </c>
      <c r="I54" s="201">
        <f>'housing proportion projections'!S23</f>
        <v>333.06112213979731</v>
      </c>
      <c r="J54" s="201">
        <f>'housing proportion projections'!T23</f>
        <v>333.06112213979731</v>
      </c>
      <c r="K54" s="201">
        <f>'housing proportion projections'!U23</f>
        <v>333.06112213979731</v>
      </c>
      <c r="L54" s="200">
        <f t="shared" si="30"/>
        <v>3330.6112213979727</v>
      </c>
      <c r="M54" s="161"/>
      <c r="N54" s="168"/>
      <c r="O54" s="147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51"/>
      <c r="AB54" s="168"/>
      <c r="AC54" s="168"/>
      <c r="AD54" s="168"/>
      <c r="AE54" s="151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168"/>
      <c r="AT54" s="168"/>
      <c r="AU54" s="168"/>
      <c r="AV54" s="168"/>
      <c r="AW54" s="168"/>
      <c r="AX54" s="168"/>
      <c r="AY54" s="168"/>
      <c r="AZ54" s="168"/>
      <c r="BA54" s="168"/>
      <c r="BB54" s="168"/>
      <c r="BC54" s="168"/>
      <c r="BD54" s="168"/>
      <c r="BE54" s="168"/>
      <c r="BF54" s="168"/>
      <c r="BG54" s="168"/>
      <c r="BH54" s="168"/>
      <c r="BI54" s="168"/>
      <c r="BJ54" s="168"/>
      <c r="BK54" s="168"/>
      <c r="BL54" s="168"/>
      <c r="BM54" s="168"/>
      <c r="BN54" s="168"/>
      <c r="BO54" s="168"/>
    </row>
    <row r="55" spans="1:67" s="155" customFormat="1" x14ac:dyDescent="0.35">
      <c r="A55" s="190" t="s">
        <v>22</v>
      </c>
      <c r="B55" s="201">
        <f>'housing proportion projections'!L24</f>
        <v>96.877651238115135</v>
      </c>
      <c r="C55" s="201">
        <f>'housing proportion projections'!M24</f>
        <v>96.877651238115135</v>
      </c>
      <c r="D55" s="201">
        <f>'housing proportion projections'!N24</f>
        <v>96.877651238115135</v>
      </c>
      <c r="E55" s="201">
        <f>'housing proportion projections'!O24</f>
        <v>96.877651238115135</v>
      </c>
      <c r="F55" s="201">
        <f>'housing proportion projections'!P24</f>
        <v>96.877651238115135</v>
      </c>
      <c r="G55" s="201">
        <f>'housing proportion projections'!Q24</f>
        <v>96.877651238115135</v>
      </c>
      <c r="H55" s="201">
        <f>'housing proportion projections'!R24</f>
        <v>96.877651238115135</v>
      </c>
      <c r="I55" s="201">
        <f>'housing proportion projections'!S24</f>
        <v>96.877651238115135</v>
      </c>
      <c r="J55" s="201">
        <f>'housing proportion projections'!T24</f>
        <v>96.877651238115135</v>
      </c>
      <c r="K55" s="201">
        <f>'housing proportion projections'!U24</f>
        <v>96.877651238115135</v>
      </c>
      <c r="L55" s="200">
        <f t="shared" si="30"/>
        <v>968.77651238115152</v>
      </c>
      <c r="M55" s="162"/>
      <c r="N55" s="168"/>
      <c r="O55" s="147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51"/>
      <c r="AB55" s="168"/>
      <c r="AC55" s="168"/>
      <c r="AD55" s="168"/>
      <c r="AE55" s="151"/>
      <c r="AF55" s="168"/>
      <c r="AG55" s="168"/>
      <c r="AH55" s="168"/>
      <c r="AI55" s="168"/>
      <c r="AJ55" s="168"/>
      <c r="AK55" s="168"/>
      <c r="AL55" s="168"/>
      <c r="AM55" s="168"/>
      <c r="AN55" s="168"/>
      <c r="AO55" s="168"/>
      <c r="AP55" s="168"/>
      <c r="AQ55" s="168"/>
      <c r="AR55" s="168"/>
      <c r="AS55" s="168"/>
      <c r="AT55" s="168"/>
      <c r="AU55" s="168"/>
      <c r="AV55" s="168"/>
      <c r="AW55" s="168"/>
      <c r="AX55" s="168"/>
      <c r="AY55" s="168"/>
      <c r="AZ55" s="168"/>
      <c r="BA55" s="168"/>
      <c r="BB55" s="168"/>
      <c r="BC55" s="168"/>
      <c r="BD55" s="168"/>
      <c r="BE55" s="168"/>
      <c r="BF55" s="168"/>
      <c r="BG55" s="168"/>
      <c r="BH55" s="168"/>
      <c r="BI55" s="168"/>
      <c r="BJ55" s="168"/>
      <c r="BK55" s="168"/>
      <c r="BL55" s="168"/>
      <c r="BM55" s="168"/>
      <c r="BN55" s="168"/>
      <c r="BO55" s="168"/>
    </row>
    <row r="56" spans="1:67" s="155" customFormat="1" ht="15" thickBot="1" x14ac:dyDescent="0.4">
      <c r="A56" s="179"/>
      <c r="B56" s="199"/>
      <c r="C56" s="199"/>
      <c r="D56" s="217"/>
      <c r="E56" s="199"/>
      <c r="F56" s="199"/>
      <c r="G56" s="199"/>
      <c r="H56" s="199"/>
      <c r="I56" s="199"/>
      <c r="J56" s="199"/>
      <c r="K56" s="199"/>
      <c r="L56" s="200"/>
      <c r="M56" s="163"/>
      <c r="N56" s="168"/>
      <c r="O56" s="147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51"/>
      <c r="AB56" s="168"/>
      <c r="AC56" s="168"/>
      <c r="AD56" s="168"/>
      <c r="AE56" s="151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168"/>
      <c r="AT56" s="168"/>
      <c r="AU56" s="168"/>
      <c r="AV56" s="168"/>
      <c r="AW56" s="168"/>
      <c r="AX56" s="168"/>
      <c r="AY56" s="168"/>
      <c r="AZ56" s="168"/>
      <c r="BA56" s="168"/>
      <c r="BB56" s="168"/>
      <c r="BC56" s="168"/>
      <c r="BD56" s="168"/>
      <c r="BE56" s="168"/>
      <c r="BF56" s="168"/>
      <c r="BG56" s="168"/>
      <c r="BH56" s="168"/>
      <c r="BI56" s="168"/>
      <c r="BJ56" s="168"/>
      <c r="BK56" s="168"/>
      <c r="BL56" s="168"/>
      <c r="BM56" s="168"/>
      <c r="BN56" s="168"/>
      <c r="BO56" s="168"/>
    </row>
    <row r="57" spans="1:67" s="155" customFormat="1" x14ac:dyDescent="0.35">
      <c r="A57" s="191" t="s">
        <v>134</v>
      </c>
      <c r="B57" s="192"/>
      <c r="C57" s="192"/>
      <c r="D57" s="213"/>
      <c r="E57" s="192"/>
      <c r="F57" s="192"/>
      <c r="G57" s="192"/>
      <c r="H57" s="192"/>
      <c r="I57" s="192"/>
      <c r="J57" s="192"/>
      <c r="K57" s="192"/>
      <c r="L57" s="192"/>
      <c r="M57" s="162"/>
      <c r="N57" s="168"/>
      <c r="O57" s="147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51"/>
      <c r="AB57" s="168"/>
      <c r="AC57" s="168"/>
      <c r="AD57" s="168"/>
      <c r="AE57" s="151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168"/>
      <c r="AT57" s="168"/>
      <c r="AU57" s="168"/>
      <c r="AV57" s="168"/>
      <c r="AW57" s="168"/>
      <c r="AX57" s="168"/>
      <c r="AY57" s="168"/>
      <c r="AZ57" s="168"/>
      <c r="BA57" s="168"/>
      <c r="BB57" s="168"/>
      <c r="BC57" s="168"/>
      <c r="BD57" s="168"/>
      <c r="BE57" s="168"/>
      <c r="BF57" s="168"/>
      <c r="BG57" s="168"/>
      <c r="BH57" s="168"/>
      <c r="BI57" s="168"/>
      <c r="BJ57" s="168"/>
      <c r="BK57" s="168"/>
      <c r="BL57" s="168"/>
      <c r="BM57" s="168"/>
      <c r="BN57" s="168"/>
      <c r="BO57" s="168"/>
    </row>
    <row r="58" spans="1:67" s="157" customFormat="1" ht="15" thickBot="1" x14ac:dyDescent="0.4">
      <c r="A58" s="193" t="s">
        <v>112</v>
      </c>
      <c r="B58" s="214">
        <f>30*((B52*$AC$17)+(B53*$AC$18)+(B54*$AC$19)+(B55*$AC$20))+'scenario 3'!B58</f>
        <v>15810097.36195826</v>
      </c>
      <c r="C58" s="214">
        <f>30*((C52*$AC$17)+(C53*$AC$18)+(C54*$AC$19)+(C55*$AC$20))+'scenario 3'!C58</f>
        <v>15810097.36195826</v>
      </c>
      <c r="D58" s="214">
        <f>30*((D52*$AG$17)+(D53*$AG$18)+(D54*$AG$19)+(D55*$AG$20))+'scenario 3'!D58</f>
        <v>13019142.205954019</v>
      </c>
      <c r="E58" s="214">
        <f>30*((E52*$AG$17)+(E53*$AG$18)+(E54*$AG$19)+(E55*$AG$20))+'scenario 3'!E58</f>
        <v>13019142.205954019</v>
      </c>
      <c r="F58" s="214">
        <f>30*((F52*$AG$17)+(F53*$AG$18)+(F54*$AG$19)+(F55*$AG$20))+'scenario 3'!F58</f>
        <v>13019142.205954019</v>
      </c>
      <c r="G58" s="214">
        <f>30*((G52*$AG$17)+(G53*$AG$18)+(G54*$AG$19)+(G55*$AG$20))+'scenario 3'!G58</f>
        <v>13019142.205954019</v>
      </c>
      <c r="H58" s="214">
        <f>30*((H52*$AG$17)+(H53*$AG$18)+(H54*$AG$19)+(H55*$AG$20))+'scenario 3'!H58</f>
        <v>13019142.205954019</v>
      </c>
      <c r="I58" s="214">
        <f>30*((I52*$AG$17)+(I53*$AG$18)+(I54*$AG$19)+(I55*$AG$20))+'scenario 3'!I58</f>
        <v>13019142.205954019</v>
      </c>
      <c r="J58" s="214">
        <f>30*((J52*$AG$17)+(J53*$AG$18)+(J54*$AG$19)+(J55*$AG$20))+'scenario 3'!J58</f>
        <v>13019142.205954019</v>
      </c>
      <c r="K58" s="214">
        <f>30*((K52*$AG$17)+(K53*$AG$18)+(K54*$AG$19)+(K55*$AG$20))+'scenario 3'!K58</f>
        <v>13019142.205954019</v>
      </c>
      <c r="L58" s="214">
        <f>SUM(B58:K58)</f>
        <v>135773332.37154865</v>
      </c>
      <c r="M58" s="164"/>
      <c r="N58" s="168"/>
      <c r="O58" s="147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51"/>
      <c r="AB58" s="168"/>
      <c r="AC58" s="168"/>
      <c r="AD58" s="168"/>
      <c r="AE58" s="151"/>
      <c r="AF58" s="168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168"/>
      <c r="BI58" s="168"/>
      <c r="BJ58" s="168"/>
      <c r="BK58" s="168"/>
      <c r="BL58" s="168"/>
      <c r="BM58" s="168"/>
      <c r="BN58" s="168"/>
      <c r="BO58" s="168"/>
    </row>
    <row r="59" spans="1:67" s="157" customFormat="1" ht="15" thickBot="1" x14ac:dyDescent="0.4">
      <c r="A59" s="193" t="s">
        <v>113</v>
      </c>
      <c r="B59" s="214">
        <f t="shared" ref="B59" si="31">B58/1000</f>
        <v>15810.09736195826</v>
      </c>
      <c r="C59" s="214">
        <f t="shared" ref="C59" si="32">C58/1000</f>
        <v>15810.09736195826</v>
      </c>
      <c r="D59" s="214">
        <f t="shared" ref="D59" si="33">D58/1000</f>
        <v>13019.142205954018</v>
      </c>
      <c r="E59" s="214">
        <f t="shared" ref="E59" si="34">E58/1000</f>
        <v>13019.142205954018</v>
      </c>
      <c r="F59" s="214">
        <f t="shared" ref="F59" si="35">F58/1000</f>
        <v>13019.142205954018</v>
      </c>
      <c r="G59" s="214">
        <f t="shared" ref="G59" si="36">G58/1000</f>
        <v>13019.142205954018</v>
      </c>
      <c r="H59" s="214">
        <f t="shared" ref="H59" si="37">H58/1000</f>
        <v>13019.142205954018</v>
      </c>
      <c r="I59" s="214">
        <f t="shared" ref="I59" si="38">I58/1000</f>
        <v>13019.142205954018</v>
      </c>
      <c r="J59" s="214">
        <f t="shared" ref="J59" si="39">J58/1000</f>
        <v>13019.142205954018</v>
      </c>
      <c r="K59" s="214">
        <f t="shared" ref="K59" si="40">K58/1000</f>
        <v>13019.142205954018</v>
      </c>
      <c r="L59" s="214">
        <f t="shared" ref="L59" si="41">L58/1000</f>
        <v>135773.33237154866</v>
      </c>
      <c r="M59" s="164"/>
      <c r="N59" s="168"/>
      <c r="O59" s="147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51"/>
      <c r="AB59" s="168"/>
      <c r="AC59" s="168"/>
      <c r="AD59" s="168"/>
      <c r="AE59" s="151"/>
      <c r="AF59" s="168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68"/>
      <c r="AT59" s="168"/>
      <c r="AU59" s="168"/>
      <c r="AV59" s="168"/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168"/>
      <c r="BI59" s="168"/>
      <c r="BJ59" s="168"/>
      <c r="BK59" s="168"/>
      <c r="BL59" s="168"/>
      <c r="BM59" s="168"/>
      <c r="BN59" s="168"/>
      <c r="BO59" s="168"/>
    </row>
    <row r="60" spans="1:67" x14ac:dyDescent="0.35">
      <c r="A60" s="193" t="s">
        <v>64</v>
      </c>
      <c r="B60" s="215">
        <f t="shared" ref="B60:L60" si="42">B59*$X$3</f>
        <v>3699562.7826982327</v>
      </c>
      <c r="C60" s="215">
        <f t="shared" si="42"/>
        <v>3699562.7826982327</v>
      </c>
      <c r="D60" s="215">
        <f t="shared" si="42"/>
        <v>3046479.2761932402</v>
      </c>
      <c r="E60" s="215">
        <f t="shared" si="42"/>
        <v>3046479.2761932402</v>
      </c>
      <c r="F60" s="215">
        <f t="shared" si="42"/>
        <v>3046479.2761932402</v>
      </c>
      <c r="G60" s="215">
        <f t="shared" si="42"/>
        <v>3046479.2761932402</v>
      </c>
      <c r="H60" s="215">
        <f t="shared" si="42"/>
        <v>3046479.2761932402</v>
      </c>
      <c r="I60" s="215">
        <f t="shared" si="42"/>
        <v>3046479.2761932402</v>
      </c>
      <c r="J60" s="215">
        <f t="shared" si="42"/>
        <v>3046479.2761932402</v>
      </c>
      <c r="K60" s="215">
        <f t="shared" si="42"/>
        <v>3046479.2761932402</v>
      </c>
      <c r="L60" s="215">
        <f t="shared" si="42"/>
        <v>31770959.774942387</v>
      </c>
      <c r="M60" s="159"/>
      <c r="BF60" s="168"/>
      <c r="BG60" s="168"/>
      <c r="BH60" s="168"/>
      <c r="BI60" s="168"/>
      <c r="BJ60" s="168"/>
      <c r="BK60" s="168"/>
      <c r="BL60" s="168"/>
      <c r="BM60" s="168"/>
      <c r="BN60" s="168"/>
      <c r="BO60" s="168"/>
    </row>
    <row r="61" spans="1:67" x14ac:dyDescent="0.35">
      <c r="A61" s="193"/>
      <c r="B61" s="194"/>
      <c r="C61" s="194"/>
      <c r="D61" s="214"/>
      <c r="E61" s="194"/>
      <c r="F61" s="194"/>
      <c r="G61" s="194"/>
      <c r="H61" s="194"/>
      <c r="I61" s="194"/>
      <c r="J61" s="194"/>
      <c r="K61" s="194"/>
      <c r="L61" s="194"/>
      <c r="M61" s="159"/>
      <c r="BF61" s="168"/>
      <c r="BG61" s="168"/>
      <c r="BH61" s="168"/>
      <c r="BI61" s="168"/>
      <c r="BJ61" s="168"/>
      <c r="BK61" s="168"/>
      <c r="BL61" s="168"/>
      <c r="BM61" s="168"/>
      <c r="BN61" s="168"/>
      <c r="BO61" s="168"/>
    </row>
    <row r="62" spans="1:67" ht="15" thickBot="1" x14ac:dyDescent="0.4">
      <c r="A62" s="197"/>
      <c r="B62" s="198"/>
      <c r="C62" s="198"/>
      <c r="D62" s="216"/>
      <c r="E62" s="198"/>
      <c r="F62" s="198"/>
      <c r="G62" s="198"/>
      <c r="H62" s="198"/>
      <c r="I62" s="198"/>
      <c r="J62" s="198"/>
      <c r="K62" s="198"/>
      <c r="L62" s="198"/>
      <c r="M62" s="159"/>
      <c r="BF62" s="168"/>
      <c r="BG62" s="168"/>
      <c r="BH62" s="168"/>
      <c r="BI62" s="168"/>
      <c r="BJ62" s="168"/>
      <c r="BK62" s="168"/>
      <c r="BL62" s="168"/>
      <c r="BM62" s="168"/>
      <c r="BN62" s="168"/>
      <c r="BO62" s="168"/>
    </row>
    <row r="63" spans="1:67" x14ac:dyDescent="0.35">
      <c r="A63" s="187"/>
      <c r="B63" s="179"/>
      <c r="C63" s="179"/>
      <c r="D63" s="212"/>
      <c r="E63" s="179"/>
      <c r="F63" s="179"/>
      <c r="G63" s="179"/>
      <c r="H63" s="179"/>
      <c r="I63" s="179"/>
      <c r="J63" s="179"/>
      <c r="K63" s="179"/>
      <c r="L63" s="179"/>
      <c r="M63" s="160"/>
      <c r="BF63" s="168"/>
      <c r="BG63" s="168"/>
      <c r="BH63" s="168"/>
      <c r="BI63" s="168"/>
      <c r="BJ63" s="168"/>
      <c r="BK63" s="168"/>
      <c r="BL63" s="168"/>
      <c r="BM63" s="168"/>
      <c r="BN63" s="168"/>
      <c r="BO63" s="168"/>
    </row>
    <row r="64" spans="1:67" x14ac:dyDescent="0.35">
      <c r="A64" s="154"/>
      <c r="B64" s="179"/>
      <c r="C64" s="179"/>
      <c r="D64" s="212"/>
      <c r="E64" s="179"/>
      <c r="F64" s="179"/>
      <c r="G64" s="179"/>
      <c r="H64" s="179"/>
      <c r="I64" s="179"/>
      <c r="J64" s="179"/>
      <c r="K64" s="179"/>
      <c r="L64" s="179"/>
      <c r="M64" s="159"/>
      <c r="BF64" s="168"/>
      <c r="BG64" s="168"/>
      <c r="BH64" s="168"/>
      <c r="BI64" s="168"/>
      <c r="BJ64" s="168"/>
      <c r="BK64" s="168"/>
      <c r="BL64" s="168"/>
      <c r="BM64" s="168"/>
      <c r="BN64" s="168"/>
      <c r="BO64" s="168"/>
    </row>
    <row r="65" spans="1:67" x14ac:dyDescent="0.35">
      <c r="A65" s="180" t="s">
        <v>0</v>
      </c>
      <c r="B65" s="182" t="s">
        <v>10</v>
      </c>
      <c r="C65" s="182" t="s">
        <v>11</v>
      </c>
      <c r="D65" s="209" t="s">
        <v>12</v>
      </c>
      <c r="E65" s="182" t="s">
        <v>13</v>
      </c>
      <c r="F65" s="182" t="s">
        <v>14</v>
      </c>
      <c r="G65" s="182" t="s">
        <v>15</v>
      </c>
      <c r="H65" s="182" t="s">
        <v>16</v>
      </c>
      <c r="I65" s="183" t="s">
        <v>17</v>
      </c>
      <c r="J65" s="184" t="s">
        <v>23</v>
      </c>
      <c r="K65" s="184" t="s">
        <v>24</v>
      </c>
      <c r="L65" s="185" t="s">
        <v>18</v>
      </c>
      <c r="M65" s="159"/>
      <c r="BF65" s="168"/>
      <c r="BG65" s="168"/>
      <c r="BH65" s="168"/>
      <c r="BI65" s="168"/>
      <c r="BJ65" s="168"/>
      <c r="BK65" s="168"/>
      <c r="BL65" s="168"/>
      <c r="BM65" s="168"/>
      <c r="BN65" s="168"/>
      <c r="BO65" s="168"/>
    </row>
    <row r="66" spans="1:67" x14ac:dyDescent="0.35">
      <c r="A66" s="154" t="s">
        <v>30</v>
      </c>
      <c r="B66" s="199">
        <v>640</v>
      </c>
      <c r="C66" s="199">
        <v>640</v>
      </c>
      <c r="D66" s="217">
        <v>640</v>
      </c>
      <c r="E66" s="199">
        <v>640</v>
      </c>
      <c r="F66" s="199">
        <v>640</v>
      </c>
      <c r="G66" s="199">
        <v>640</v>
      </c>
      <c r="H66" s="199">
        <v>640</v>
      </c>
      <c r="I66" s="199">
        <v>640</v>
      </c>
      <c r="J66" s="199">
        <v>640</v>
      </c>
      <c r="K66" s="199">
        <v>640</v>
      </c>
      <c r="L66" s="200">
        <f>SUM(B66:K66)</f>
        <v>6400</v>
      </c>
      <c r="M66" s="159"/>
      <c r="BF66" s="168"/>
      <c r="BG66" s="168"/>
      <c r="BH66" s="168"/>
      <c r="BI66" s="168"/>
      <c r="BJ66" s="168"/>
      <c r="BK66" s="168"/>
      <c r="BL66" s="168"/>
      <c r="BM66" s="168"/>
      <c r="BN66" s="168"/>
      <c r="BO66" s="168"/>
    </row>
    <row r="67" spans="1:67" s="158" customFormat="1" x14ac:dyDescent="0.35">
      <c r="A67" s="187" t="s">
        <v>20</v>
      </c>
      <c r="B67" s="201">
        <f>'housing proportion projections'!L26</f>
        <v>123.40225964613089</v>
      </c>
      <c r="C67" s="201">
        <f>'housing proportion projections'!M26</f>
        <v>123.40225964613089</v>
      </c>
      <c r="D67" s="201">
        <f>'housing proportion projections'!N26</f>
        <v>123.40225964613089</v>
      </c>
      <c r="E67" s="201">
        <f>'housing proportion projections'!O26</f>
        <v>123.40225964613089</v>
      </c>
      <c r="F67" s="201">
        <f>'housing proportion projections'!P26</f>
        <v>123.40225964613089</v>
      </c>
      <c r="G67" s="201">
        <f>'housing proportion projections'!Q26</f>
        <v>123.40225964613089</v>
      </c>
      <c r="H67" s="201">
        <f>'housing proportion projections'!R26</f>
        <v>123.40225964613089</v>
      </c>
      <c r="I67" s="201">
        <f>'housing proportion projections'!S26</f>
        <v>123.40225964613089</v>
      </c>
      <c r="J67" s="201">
        <f>'housing proportion projections'!T26</f>
        <v>123.40225964613089</v>
      </c>
      <c r="K67" s="201">
        <f>'housing proportion projections'!U26</f>
        <v>123.40225964613089</v>
      </c>
      <c r="L67" s="200">
        <f t="shared" ref="L67:L70" si="43">SUM(B67:K67)</f>
        <v>1234.0225964613089</v>
      </c>
      <c r="M67" s="167"/>
      <c r="N67" s="168"/>
      <c r="O67" s="147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51"/>
      <c r="AB67" s="168"/>
      <c r="AC67" s="168"/>
      <c r="AD67" s="168"/>
      <c r="AE67" s="151"/>
      <c r="AF67" s="168"/>
      <c r="AG67" s="168"/>
      <c r="AH67" s="168"/>
      <c r="AI67" s="168"/>
      <c r="AJ67" s="168"/>
      <c r="AK67" s="168"/>
      <c r="AL67" s="168"/>
      <c r="AM67" s="168"/>
      <c r="AN67" s="168"/>
      <c r="AO67" s="168"/>
      <c r="AP67" s="168"/>
      <c r="AQ67" s="168"/>
      <c r="AR67" s="168"/>
      <c r="AS67" s="168"/>
      <c r="AT67" s="168"/>
      <c r="AU67" s="168"/>
      <c r="AV67" s="168"/>
      <c r="AW67" s="168"/>
      <c r="AX67" s="168"/>
      <c r="AY67" s="168"/>
      <c r="AZ67" s="168"/>
      <c r="BA67" s="168"/>
      <c r="BB67" s="168"/>
      <c r="BC67" s="168"/>
      <c r="BD67" s="168"/>
      <c r="BE67" s="168"/>
      <c r="BF67" s="168"/>
      <c r="BG67" s="168"/>
      <c r="BH67" s="168"/>
      <c r="BI67" s="168"/>
      <c r="BJ67" s="168"/>
      <c r="BK67" s="168"/>
      <c r="BL67" s="168"/>
      <c r="BM67" s="168"/>
      <c r="BN67" s="168"/>
      <c r="BO67" s="168"/>
    </row>
    <row r="68" spans="1:67" ht="15" thickBot="1" x14ac:dyDescent="0.4">
      <c r="A68" s="187" t="s">
        <v>21</v>
      </c>
      <c r="B68" s="201">
        <f>'housing proportion projections'!L27</f>
        <v>174.29119590705608</v>
      </c>
      <c r="C68" s="201">
        <f>'housing proportion projections'!M27</f>
        <v>174.29119590705608</v>
      </c>
      <c r="D68" s="201">
        <f>'housing proportion projections'!N27</f>
        <v>174.29119590705608</v>
      </c>
      <c r="E68" s="201">
        <f>'housing proportion projections'!O27</f>
        <v>174.29119590705608</v>
      </c>
      <c r="F68" s="201">
        <f>'housing proportion projections'!P27</f>
        <v>174.29119590705608</v>
      </c>
      <c r="G68" s="201">
        <f>'housing proportion projections'!Q27</f>
        <v>174.29119590705608</v>
      </c>
      <c r="H68" s="201">
        <f>'housing proportion projections'!R27</f>
        <v>174.29119590705608</v>
      </c>
      <c r="I68" s="201">
        <f>'housing proportion projections'!S27</f>
        <v>174.29119590705608</v>
      </c>
      <c r="J68" s="201">
        <f>'housing proportion projections'!T27</f>
        <v>174.29119590705608</v>
      </c>
      <c r="K68" s="201">
        <f>'housing proportion projections'!U27</f>
        <v>174.29119590705608</v>
      </c>
      <c r="L68" s="200">
        <f t="shared" si="43"/>
        <v>1742.9119590705611</v>
      </c>
      <c r="M68" s="159"/>
      <c r="BF68" s="168"/>
      <c r="BG68" s="168"/>
      <c r="BH68" s="168"/>
      <c r="BI68" s="168"/>
      <c r="BJ68" s="168"/>
      <c r="BK68" s="168"/>
      <c r="BL68" s="168"/>
      <c r="BM68" s="168"/>
      <c r="BN68" s="168"/>
      <c r="BO68" s="168"/>
    </row>
    <row r="69" spans="1:67" s="156" customFormat="1" x14ac:dyDescent="0.35">
      <c r="A69" s="187" t="s">
        <v>26</v>
      </c>
      <c r="B69" s="201">
        <f>'housing proportion projections'!L28</f>
        <v>251.44318908548286</v>
      </c>
      <c r="C69" s="201">
        <f>'housing proportion projections'!M28</f>
        <v>251.44318908548286</v>
      </c>
      <c r="D69" s="201">
        <f>'housing proportion projections'!N28</f>
        <v>251.44318908548286</v>
      </c>
      <c r="E69" s="201">
        <f>'housing proportion projections'!O28</f>
        <v>251.44318908548286</v>
      </c>
      <c r="F69" s="201">
        <f>'housing proportion projections'!P28</f>
        <v>251.44318908548286</v>
      </c>
      <c r="G69" s="201">
        <f>'housing proportion projections'!Q28</f>
        <v>251.44318908548286</v>
      </c>
      <c r="H69" s="201">
        <f>'housing proportion projections'!R28</f>
        <v>251.44318908548286</v>
      </c>
      <c r="I69" s="201">
        <f>'housing proportion projections'!S28</f>
        <v>251.44318908548286</v>
      </c>
      <c r="J69" s="201">
        <f>'housing proportion projections'!T28</f>
        <v>251.44318908548286</v>
      </c>
      <c r="K69" s="201">
        <f>'housing proportion projections'!U28</f>
        <v>251.44318908548286</v>
      </c>
      <c r="L69" s="200">
        <f t="shared" si="43"/>
        <v>2514.4318908548285</v>
      </c>
      <c r="M69" s="161"/>
      <c r="N69" s="168"/>
      <c r="O69" s="147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51"/>
      <c r="AB69" s="168"/>
      <c r="AC69" s="168"/>
      <c r="AD69" s="168"/>
      <c r="AE69" s="151"/>
      <c r="AF69" s="168"/>
      <c r="AG69" s="168"/>
      <c r="AH69" s="168"/>
      <c r="AI69" s="168"/>
      <c r="AJ69" s="168"/>
      <c r="AK69" s="168"/>
      <c r="AL69" s="168"/>
      <c r="AM69" s="168"/>
      <c r="AN69" s="168"/>
      <c r="AO69" s="168"/>
      <c r="AP69" s="168"/>
      <c r="AQ69" s="168"/>
      <c r="AR69" s="168"/>
      <c r="AS69" s="168"/>
      <c r="AT69" s="168"/>
      <c r="AU69" s="168"/>
      <c r="AV69" s="168"/>
      <c r="AW69" s="168"/>
      <c r="AX69" s="168"/>
      <c r="AY69" s="168"/>
      <c r="AZ69" s="168"/>
      <c r="BA69" s="168"/>
      <c r="BB69" s="168"/>
      <c r="BC69" s="168"/>
      <c r="BD69" s="168"/>
      <c r="BE69" s="168"/>
      <c r="BF69" s="168"/>
      <c r="BG69" s="168"/>
      <c r="BH69" s="168"/>
      <c r="BI69" s="168"/>
      <c r="BJ69" s="168"/>
      <c r="BK69" s="168"/>
      <c r="BL69" s="168"/>
      <c r="BM69" s="168"/>
      <c r="BN69" s="168"/>
      <c r="BO69" s="168"/>
    </row>
    <row r="70" spans="1:67" s="155" customFormat="1" x14ac:dyDescent="0.35">
      <c r="A70" s="190" t="s">
        <v>22</v>
      </c>
      <c r="B70" s="201">
        <f>'housing proportion projections'!L29</f>
        <v>90.931571093583457</v>
      </c>
      <c r="C70" s="201">
        <f>'housing proportion projections'!M29</f>
        <v>90.931571093583457</v>
      </c>
      <c r="D70" s="201">
        <f>'housing proportion projections'!N29</f>
        <v>90.931571093583457</v>
      </c>
      <c r="E70" s="201">
        <f>'housing proportion projections'!O29</f>
        <v>90.931571093583457</v>
      </c>
      <c r="F70" s="201">
        <f>'housing proportion projections'!P29</f>
        <v>90.931571093583457</v>
      </c>
      <c r="G70" s="201">
        <f>'housing proportion projections'!Q29</f>
        <v>90.931571093583457</v>
      </c>
      <c r="H70" s="201">
        <f>'housing proportion projections'!R29</f>
        <v>90.931571093583457</v>
      </c>
      <c r="I70" s="201">
        <f>'housing proportion projections'!S29</f>
        <v>90.931571093583457</v>
      </c>
      <c r="J70" s="201">
        <f>'housing proportion projections'!T29</f>
        <v>90.931571093583457</v>
      </c>
      <c r="K70" s="201">
        <f>'housing proportion projections'!U29</f>
        <v>90.931571093583457</v>
      </c>
      <c r="L70" s="200">
        <f t="shared" si="43"/>
        <v>909.31571093583455</v>
      </c>
      <c r="M70" s="162"/>
      <c r="N70" s="168"/>
      <c r="O70" s="147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51"/>
      <c r="AB70" s="168"/>
      <c r="AC70" s="168"/>
      <c r="AD70" s="168"/>
      <c r="AE70" s="151"/>
      <c r="AF70" s="168"/>
      <c r="AG70" s="168"/>
      <c r="AH70" s="168"/>
      <c r="AI70" s="168"/>
      <c r="AJ70" s="168"/>
      <c r="AK70" s="168"/>
      <c r="AL70" s="168"/>
      <c r="AM70" s="168"/>
      <c r="AN70" s="168"/>
      <c r="AO70" s="168"/>
      <c r="AP70" s="168"/>
      <c r="AQ70" s="168"/>
      <c r="AR70" s="168"/>
      <c r="AS70" s="168"/>
      <c r="AT70" s="168"/>
      <c r="AU70" s="168"/>
      <c r="AV70" s="168"/>
      <c r="AW70" s="168"/>
      <c r="AX70" s="168"/>
      <c r="AY70" s="168"/>
      <c r="AZ70" s="168"/>
      <c r="BA70" s="168"/>
      <c r="BB70" s="168"/>
      <c r="BC70" s="168"/>
      <c r="BD70" s="168"/>
      <c r="BE70" s="168"/>
      <c r="BF70" s="168"/>
      <c r="BG70" s="168"/>
      <c r="BH70" s="168"/>
      <c r="BI70" s="168"/>
      <c r="BJ70" s="168"/>
      <c r="BK70" s="168"/>
      <c r="BL70" s="168"/>
      <c r="BM70" s="168"/>
      <c r="BN70" s="168"/>
      <c r="BO70" s="168"/>
    </row>
    <row r="71" spans="1:67" s="155" customFormat="1" ht="15" thickBot="1" x14ac:dyDescent="0.4">
      <c r="A71" s="179"/>
      <c r="B71" s="179"/>
      <c r="C71" s="179"/>
      <c r="D71" s="212"/>
      <c r="E71" s="179"/>
      <c r="F71" s="179"/>
      <c r="G71" s="179"/>
      <c r="H71" s="179"/>
      <c r="I71" s="179"/>
      <c r="J71" s="179"/>
      <c r="K71" s="179"/>
      <c r="L71" s="179"/>
      <c r="M71" s="163"/>
      <c r="N71" s="168"/>
      <c r="O71" s="147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51"/>
      <c r="AB71" s="168"/>
      <c r="AC71" s="168"/>
      <c r="AD71" s="168"/>
      <c r="AE71" s="151"/>
      <c r="AF71" s="168"/>
      <c r="AG71" s="168"/>
      <c r="AH71" s="168"/>
      <c r="AI71" s="168"/>
      <c r="AJ71" s="168"/>
      <c r="AK71" s="168"/>
      <c r="AL71" s="168"/>
      <c r="AM71" s="168"/>
      <c r="AN71" s="168"/>
      <c r="AO71" s="168"/>
      <c r="AP71" s="168"/>
      <c r="AQ71" s="168"/>
      <c r="AR71" s="168"/>
      <c r="AS71" s="168"/>
      <c r="AT71" s="168"/>
      <c r="AU71" s="168"/>
      <c r="AV71" s="168"/>
      <c r="AW71" s="168"/>
      <c r="AX71" s="168"/>
      <c r="AY71" s="168"/>
      <c r="AZ71" s="168"/>
      <c r="BA71" s="168"/>
      <c r="BB71" s="168"/>
      <c r="BC71" s="168"/>
      <c r="BD71" s="168"/>
      <c r="BE71" s="168"/>
      <c r="BF71" s="168"/>
      <c r="BG71" s="168"/>
      <c r="BH71" s="168"/>
      <c r="BI71" s="168"/>
      <c r="BJ71" s="168"/>
      <c r="BK71" s="168"/>
      <c r="BL71" s="168"/>
      <c r="BM71" s="168"/>
      <c r="BN71" s="168"/>
      <c r="BO71" s="168"/>
    </row>
    <row r="72" spans="1:67" s="155" customFormat="1" x14ac:dyDescent="0.35">
      <c r="A72" s="191" t="s">
        <v>134</v>
      </c>
      <c r="B72" s="192"/>
      <c r="C72" s="192"/>
      <c r="D72" s="213"/>
      <c r="E72" s="192"/>
      <c r="F72" s="192"/>
      <c r="G72" s="192"/>
      <c r="H72" s="192"/>
      <c r="I72" s="192"/>
      <c r="J72" s="192"/>
      <c r="K72" s="192"/>
      <c r="L72" s="192"/>
      <c r="M72" s="162"/>
      <c r="N72" s="168"/>
      <c r="O72" s="147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51"/>
      <c r="AB72" s="168"/>
      <c r="AC72" s="168"/>
      <c r="AD72" s="168"/>
      <c r="AE72" s="151"/>
      <c r="AF72" s="168"/>
      <c r="AG72" s="168"/>
      <c r="AH72" s="168"/>
      <c r="AI72" s="168"/>
      <c r="AJ72" s="168"/>
      <c r="AK72" s="168"/>
      <c r="AL72" s="168"/>
      <c r="AM72" s="168"/>
      <c r="AN72" s="168"/>
      <c r="AO72" s="168"/>
      <c r="AP72" s="168"/>
      <c r="AQ72" s="168"/>
      <c r="AR72" s="168"/>
      <c r="AS72" s="168"/>
      <c r="AT72" s="168"/>
      <c r="AU72" s="168"/>
      <c r="AV72" s="168"/>
      <c r="AW72" s="168"/>
      <c r="AX72" s="168"/>
      <c r="AY72" s="168"/>
      <c r="AZ72" s="168"/>
      <c r="BA72" s="168"/>
      <c r="BB72" s="168"/>
      <c r="BC72" s="168"/>
      <c r="BD72" s="168"/>
      <c r="BE72" s="168"/>
      <c r="BF72" s="168"/>
      <c r="BG72" s="168"/>
      <c r="BH72" s="168"/>
      <c r="BI72" s="168"/>
      <c r="BJ72" s="168"/>
      <c r="BK72" s="168"/>
      <c r="BL72" s="168"/>
      <c r="BM72" s="168"/>
      <c r="BN72" s="168"/>
      <c r="BO72" s="168"/>
    </row>
    <row r="73" spans="1:67" s="157" customFormat="1" ht="15" thickBot="1" x14ac:dyDescent="0.4">
      <c r="A73" s="193" t="s">
        <v>112</v>
      </c>
      <c r="B73" s="214">
        <f>30*((B67*$AC$17)+(B68*$AC$18)+(B69*$AC$19)+(B70*$AC$20))+'scenario 3'!B73</f>
        <v>13414578.537390338</v>
      </c>
      <c r="C73" s="214">
        <f>30*((C67*$AC$17)+(C68*$AC$18)+(C69*$AC$19)+(C70*$AC$20))+'scenario 3'!C73</f>
        <v>13414578.537390338</v>
      </c>
      <c r="D73" s="214">
        <f>30*((D67*$AG$17)+(D68*$AG$18)+(D69*$AG$19)+(D70*$AG$20))+'scenario 3'!D73</f>
        <v>11042196.230678014</v>
      </c>
      <c r="E73" s="214">
        <f>30*((E67*$AG$17)+(E68*$AG$18)+(E69*$AG$19)+(E70*$AG$20))+'scenario 3'!E73</f>
        <v>11042196.230678014</v>
      </c>
      <c r="F73" s="214">
        <f>30*((F67*$AG$17)+(F68*$AG$18)+(F69*$AG$19)+(F70*$AG$20))+'scenario 3'!F73</f>
        <v>11042196.230678014</v>
      </c>
      <c r="G73" s="214">
        <f>30*((G67*$AG$17)+(G68*$AG$18)+(G69*$AG$19)+(G70*$AG$20))+'scenario 3'!G73</f>
        <v>11042196.230678014</v>
      </c>
      <c r="H73" s="214">
        <f>30*((H67*$AG$17)+(H68*$AG$18)+(H69*$AG$19)+(H70*$AG$20))+'scenario 3'!H73</f>
        <v>11042196.230678014</v>
      </c>
      <c r="I73" s="214">
        <f>30*((I67*$AG$17)+(I68*$AG$18)+(I69*$AG$19)+(I70*$AG$20))+'scenario 3'!I73</f>
        <v>11042196.230678014</v>
      </c>
      <c r="J73" s="214">
        <f>30*((J67*$AG$17)+(J68*$AG$18)+(J69*$AG$19)+(J70*$AG$20))+'scenario 3'!J73</f>
        <v>11042196.230678014</v>
      </c>
      <c r="K73" s="214">
        <f>30*((K67*$AG$17)+(K68*$AG$18)+(K69*$AG$19)+(K70*$AG$20))+'scenario 3'!K73</f>
        <v>11042196.230678014</v>
      </c>
      <c r="L73" s="214">
        <f>SUM(B73:K73)</f>
        <v>115166726.92020482</v>
      </c>
      <c r="M73" s="164"/>
      <c r="N73" s="168"/>
      <c r="O73" s="147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  <c r="AA73" s="151"/>
      <c r="AB73" s="168"/>
      <c r="AC73" s="168"/>
      <c r="AD73" s="168"/>
      <c r="AE73" s="151"/>
      <c r="AF73" s="168"/>
      <c r="AG73" s="168"/>
      <c r="AH73" s="168"/>
      <c r="AI73" s="168"/>
      <c r="AJ73" s="168"/>
      <c r="AK73" s="168"/>
      <c r="AL73" s="168"/>
      <c r="AM73" s="168"/>
      <c r="AN73" s="168"/>
      <c r="AO73" s="168"/>
      <c r="AP73" s="168"/>
      <c r="AQ73" s="168"/>
      <c r="AR73" s="168"/>
      <c r="AS73" s="168"/>
      <c r="AT73" s="168"/>
      <c r="AU73" s="168"/>
      <c r="AV73" s="168"/>
      <c r="AW73" s="168"/>
      <c r="AX73" s="168"/>
      <c r="AY73" s="168"/>
      <c r="AZ73" s="168"/>
      <c r="BA73" s="168"/>
      <c r="BB73" s="168"/>
      <c r="BC73" s="168"/>
      <c r="BD73" s="168"/>
      <c r="BE73" s="168"/>
      <c r="BF73" s="168"/>
      <c r="BG73" s="168"/>
      <c r="BH73" s="168"/>
      <c r="BI73" s="168"/>
      <c r="BJ73" s="168"/>
      <c r="BK73" s="168"/>
      <c r="BL73" s="168"/>
      <c r="BM73" s="168"/>
      <c r="BN73" s="168"/>
      <c r="BO73" s="168"/>
    </row>
    <row r="74" spans="1:67" s="157" customFormat="1" ht="15" thickBot="1" x14ac:dyDescent="0.4">
      <c r="A74" s="193" t="s">
        <v>113</v>
      </c>
      <c r="B74" s="214">
        <f t="shared" ref="B74" si="44">B73/1000</f>
        <v>13414.578537390338</v>
      </c>
      <c r="C74" s="214">
        <f t="shared" ref="C74" si="45">C73/1000</f>
        <v>13414.578537390338</v>
      </c>
      <c r="D74" s="214">
        <f t="shared" ref="D74" si="46">D73/1000</f>
        <v>11042.196230678015</v>
      </c>
      <c r="E74" s="214">
        <f t="shared" ref="E74" si="47">E73/1000</f>
        <v>11042.196230678015</v>
      </c>
      <c r="F74" s="214">
        <f t="shared" ref="F74" si="48">F73/1000</f>
        <v>11042.196230678015</v>
      </c>
      <c r="G74" s="214">
        <f t="shared" ref="G74" si="49">G73/1000</f>
        <v>11042.196230678015</v>
      </c>
      <c r="H74" s="214">
        <f t="shared" ref="H74" si="50">H73/1000</f>
        <v>11042.196230678015</v>
      </c>
      <c r="I74" s="214">
        <f t="shared" ref="I74" si="51">I73/1000</f>
        <v>11042.196230678015</v>
      </c>
      <c r="J74" s="214">
        <f t="shared" ref="J74" si="52">J73/1000</f>
        <v>11042.196230678015</v>
      </c>
      <c r="K74" s="214">
        <f t="shared" ref="K74" si="53">K73/1000</f>
        <v>11042.196230678015</v>
      </c>
      <c r="L74" s="214">
        <f t="shared" ref="L74" si="54">L73/1000</f>
        <v>115166.72692020482</v>
      </c>
      <c r="M74" s="164"/>
      <c r="N74" s="168"/>
      <c r="O74" s="147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51"/>
      <c r="AB74" s="168"/>
      <c r="AC74" s="168"/>
      <c r="AD74" s="168"/>
      <c r="AE74" s="151"/>
      <c r="AF74" s="168"/>
      <c r="AG74" s="168"/>
      <c r="AH74" s="168"/>
      <c r="AI74" s="168"/>
      <c r="AJ74" s="168"/>
      <c r="AK74" s="168"/>
      <c r="AL74" s="168"/>
      <c r="AM74" s="168"/>
      <c r="AN74" s="168"/>
      <c r="AO74" s="168"/>
      <c r="AP74" s="168"/>
      <c r="AQ74" s="168"/>
      <c r="AR74" s="168"/>
      <c r="AS74" s="168"/>
      <c r="AT74" s="168"/>
      <c r="AU74" s="168"/>
      <c r="AV74" s="168"/>
      <c r="AW74" s="168"/>
      <c r="AX74" s="168"/>
      <c r="AY74" s="168"/>
      <c r="AZ74" s="168"/>
      <c r="BA74" s="168"/>
      <c r="BB74" s="168"/>
      <c r="BC74" s="168"/>
      <c r="BD74" s="168"/>
      <c r="BE74" s="168"/>
      <c r="BF74" s="168"/>
      <c r="BG74" s="168"/>
      <c r="BH74" s="168"/>
      <c r="BI74" s="168"/>
      <c r="BJ74" s="168"/>
      <c r="BK74" s="168"/>
      <c r="BL74" s="168"/>
      <c r="BM74" s="168"/>
      <c r="BN74" s="168"/>
      <c r="BO74" s="168"/>
    </row>
    <row r="75" spans="1:67" x14ac:dyDescent="0.35">
      <c r="A75" s="193" t="s">
        <v>64</v>
      </c>
      <c r="B75" s="215">
        <f t="shared" ref="B75" si="55">B74*$X$3</f>
        <v>3139011.3777493392</v>
      </c>
      <c r="C75" s="215">
        <f t="shared" ref="C75" si="56">C74*$X$3</f>
        <v>3139011.3777493392</v>
      </c>
      <c r="D75" s="215">
        <f t="shared" ref="D75" si="57">D74*$X$3</f>
        <v>2583873.9179786555</v>
      </c>
      <c r="E75" s="215">
        <f t="shared" ref="E75" si="58">E74*$X$3</f>
        <v>2583873.9179786555</v>
      </c>
      <c r="F75" s="215">
        <f t="shared" ref="F75" si="59">F74*$X$3</f>
        <v>2583873.9179786555</v>
      </c>
      <c r="G75" s="215">
        <f t="shared" ref="G75" si="60">G74*$X$3</f>
        <v>2583873.9179786555</v>
      </c>
      <c r="H75" s="215">
        <f t="shared" ref="H75" si="61">H74*$X$3</f>
        <v>2583873.9179786555</v>
      </c>
      <c r="I75" s="215">
        <f t="shared" ref="I75" si="62">I74*$X$3</f>
        <v>2583873.9179786555</v>
      </c>
      <c r="J75" s="215">
        <f t="shared" ref="J75" si="63">J74*$X$3</f>
        <v>2583873.9179786555</v>
      </c>
      <c r="K75" s="215">
        <f t="shared" ref="K75" si="64">K74*$X$3</f>
        <v>2583873.9179786555</v>
      </c>
      <c r="L75" s="215">
        <f t="shared" ref="L75" si="65">L74*$X$3</f>
        <v>26949014.099327929</v>
      </c>
      <c r="M75" s="159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</row>
    <row r="76" spans="1:67" x14ac:dyDescent="0.35">
      <c r="A76" s="193"/>
      <c r="B76" s="194"/>
      <c r="C76" s="194"/>
      <c r="D76" s="214"/>
      <c r="E76" s="194"/>
      <c r="F76" s="194"/>
      <c r="G76" s="194"/>
      <c r="H76" s="194"/>
      <c r="I76" s="194"/>
      <c r="J76" s="194"/>
      <c r="K76" s="194"/>
      <c r="L76" s="194"/>
      <c r="M76" s="159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</row>
    <row r="77" spans="1:67" ht="15" thickBot="1" x14ac:dyDescent="0.4">
      <c r="A77" s="197"/>
      <c r="B77" s="198"/>
      <c r="C77" s="198"/>
      <c r="D77" s="216"/>
      <c r="E77" s="198"/>
      <c r="F77" s="198"/>
      <c r="G77" s="198"/>
      <c r="H77" s="198"/>
      <c r="I77" s="198"/>
      <c r="J77" s="198"/>
      <c r="K77" s="198"/>
      <c r="L77" s="198"/>
      <c r="M77" s="159"/>
      <c r="BF77" s="168"/>
      <c r="BG77" s="168"/>
      <c r="BH77" s="168"/>
      <c r="BI77" s="168"/>
      <c r="BJ77" s="168"/>
      <c r="BK77" s="168"/>
      <c r="BL77" s="168"/>
      <c r="BM77" s="168"/>
      <c r="BN77" s="168"/>
      <c r="BO77" s="168"/>
    </row>
    <row r="78" spans="1:67" x14ac:dyDescent="0.35">
      <c r="A78" s="187"/>
      <c r="B78" s="179"/>
      <c r="C78" s="179"/>
      <c r="D78" s="212"/>
      <c r="E78" s="179"/>
      <c r="F78" s="179"/>
      <c r="G78" s="179"/>
      <c r="H78" s="179"/>
      <c r="I78" s="179"/>
      <c r="J78" s="179"/>
      <c r="K78" s="179"/>
      <c r="L78" s="179"/>
      <c r="M78" s="160"/>
      <c r="BF78" s="168"/>
      <c r="BG78" s="168"/>
      <c r="BH78" s="168"/>
      <c r="BI78" s="168"/>
      <c r="BJ78" s="168"/>
      <c r="BK78" s="168"/>
      <c r="BL78" s="168"/>
      <c r="BM78" s="168"/>
      <c r="BN78" s="168"/>
      <c r="BO78" s="168"/>
    </row>
    <row r="79" spans="1:67" x14ac:dyDescent="0.35">
      <c r="A79" s="187"/>
      <c r="B79" s="179"/>
      <c r="C79" s="179"/>
      <c r="D79" s="212"/>
      <c r="E79" s="179"/>
      <c r="F79" s="179"/>
      <c r="G79" s="179"/>
      <c r="H79" s="179"/>
      <c r="I79" s="179"/>
      <c r="J79" s="179"/>
      <c r="K79" s="179"/>
      <c r="L79" s="179"/>
      <c r="M79" s="159"/>
      <c r="BF79" s="168"/>
      <c r="BG79" s="168"/>
      <c r="BH79" s="168"/>
      <c r="BI79" s="168"/>
      <c r="BJ79" s="168"/>
      <c r="BK79" s="168"/>
      <c r="BL79" s="168"/>
      <c r="BM79" s="168"/>
      <c r="BN79" s="168"/>
      <c r="BO79" s="168"/>
    </row>
    <row r="80" spans="1:67" x14ac:dyDescent="0.35">
      <c r="A80" s="180" t="s">
        <v>0</v>
      </c>
      <c r="B80" s="182" t="s">
        <v>10</v>
      </c>
      <c r="C80" s="182" t="s">
        <v>11</v>
      </c>
      <c r="D80" s="209" t="s">
        <v>12</v>
      </c>
      <c r="E80" s="182" t="s">
        <v>13</v>
      </c>
      <c r="F80" s="182" t="s">
        <v>14</v>
      </c>
      <c r="G80" s="182" t="s">
        <v>15</v>
      </c>
      <c r="H80" s="182" t="s">
        <v>16</v>
      </c>
      <c r="I80" s="183" t="s">
        <v>17</v>
      </c>
      <c r="J80" s="184" t="s">
        <v>23</v>
      </c>
      <c r="K80" s="184" t="s">
        <v>24</v>
      </c>
      <c r="L80" s="185" t="s">
        <v>18</v>
      </c>
      <c r="M80" s="159"/>
      <c r="BF80" s="168"/>
      <c r="BG80" s="168"/>
      <c r="BH80" s="168"/>
      <c r="BI80" s="168"/>
      <c r="BJ80" s="168"/>
      <c r="BK80" s="168"/>
      <c r="BL80" s="168"/>
      <c r="BM80" s="168"/>
      <c r="BN80" s="168"/>
      <c r="BO80" s="168"/>
    </row>
    <row r="81" spans="1:67" x14ac:dyDescent="0.35">
      <c r="A81" s="154" t="s">
        <v>31</v>
      </c>
      <c r="B81" s="199">
        <v>1720</v>
      </c>
      <c r="C81" s="199">
        <v>1720</v>
      </c>
      <c r="D81" s="217">
        <v>1720</v>
      </c>
      <c r="E81" s="199">
        <v>1720</v>
      </c>
      <c r="F81" s="199">
        <v>1720</v>
      </c>
      <c r="G81" s="199">
        <v>1720</v>
      </c>
      <c r="H81" s="199">
        <v>1720</v>
      </c>
      <c r="I81" s="199">
        <v>1720</v>
      </c>
      <c r="J81" s="199">
        <v>1720</v>
      </c>
      <c r="K81" s="199">
        <v>1720</v>
      </c>
      <c r="L81" s="200">
        <f>SUM(B81:K81)</f>
        <v>17200</v>
      </c>
      <c r="M81" s="159"/>
      <c r="BF81" s="168"/>
      <c r="BG81" s="168"/>
      <c r="BH81" s="168"/>
      <c r="BI81" s="168"/>
      <c r="BJ81" s="168"/>
      <c r="BK81" s="168"/>
      <c r="BL81" s="168"/>
      <c r="BM81" s="168"/>
      <c r="BN81" s="168"/>
      <c r="BO81" s="168"/>
    </row>
    <row r="82" spans="1:67" s="158" customFormat="1" x14ac:dyDescent="0.35">
      <c r="A82" s="187" t="s">
        <v>20</v>
      </c>
      <c r="B82" s="201">
        <f>'housing proportion projections'!L31</f>
        <v>184.64770689213427</v>
      </c>
      <c r="C82" s="201">
        <f>'housing proportion projections'!M31</f>
        <v>184.64770689213427</v>
      </c>
      <c r="D82" s="201">
        <f>'housing proportion projections'!N31</f>
        <v>184.64770689213427</v>
      </c>
      <c r="E82" s="201">
        <f>'housing proportion projections'!O31</f>
        <v>184.64770689213427</v>
      </c>
      <c r="F82" s="201">
        <f>'housing proportion projections'!P31</f>
        <v>184.64770689213427</v>
      </c>
      <c r="G82" s="201">
        <f>'housing proportion projections'!Q31</f>
        <v>184.64770689213427</v>
      </c>
      <c r="H82" s="201">
        <f>'housing proportion projections'!R31</f>
        <v>184.64770689213427</v>
      </c>
      <c r="I82" s="201">
        <f>'housing proportion projections'!S31</f>
        <v>184.64770689213427</v>
      </c>
      <c r="J82" s="201">
        <f>'housing proportion projections'!T31</f>
        <v>184.64770689213427</v>
      </c>
      <c r="K82" s="201">
        <f>'housing proportion projections'!U31</f>
        <v>184.64770689213427</v>
      </c>
      <c r="L82" s="200">
        <f t="shared" ref="L82:L85" si="66">SUM(B82:K82)</f>
        <v>1846.4770689213426</v>
      </c>
      <c r="M82" s="167"/>
      <c r="N82" s="168"/>
      <c r="O82" s="147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51"/>
      <c r="AB82" s="168"/>
      <c r="AC82" s="168"/>
      <c r="AD82" s="168"/>
      <c r="AE82" s="151"/>
      <c r="AF82" s="168"/>
      <c r="AG82" s="168"/>
      <c r="AH82" s="168"/>
      <c r="AI82" s="168"/>
      <c r="AJ82" s="168"/>
      <c r="AK82" s="168"/>
      <c r="AL82" s="168"/>
      <c r="AM82" s="168"/>
      <c r="AN82" s="168"/>
      <c r="AO82" s="168"/>
      <c r="AP82" s="168"/>
      <c r="AQ82" s="168"/>
      <c r="AR82" s="168"/>
      <c r="AS82" s="168"/>
      <c r="AT82" s="168"/>
      <c r="AU82" s="168"/>
      <c r="AV82" s="168"/>
      <c r="AW82" s="168"/>
      <c r="AX82" s="168"/>
      <c r="AY82" s="168"/>
      <c r="AZ82" s="168"/>
      <c r="BA82" s="168"/>
      <c r="BB82" s="168"/>
      <c r="BC82" s="168"/>
      <c r="BD82" s="168"/>
      <c r="BE82" s="168"/>
      <c r="BF82" s="168"/>
      <c r="BG82" s="168"/>
      <c r="BH82" s="168"/>
      <c r="BI82" s="168"/>
      <c r="BJ82" s="168"/>
      <c r="BK82" s="168"/>
      <c r="BL82" s="168"/>
      <c r="BM82" s="168"/>
      <c r="BN82" s="168"/>
      <c r="BO82" s="168"/>
    </row>
    <row r="83" spans="1:67" ht="15" thickBot="1" x14ac:dyDescent="0.4">
      <c r="A83" s="187" t="s">
        <v>21</v>
      </c>
      <c r="B83" s="201">
        <f>'housing proportion projections'!L32</f>
        <v>477.70433000256213</v>
      </c>
      <c r="C83" s="201">
        <f>'housing proportion projections'!M32</f>
        <v>477.70433000256213</v>
      </c>
      <c r="D83" s="201">
        <f>'housing proportion projections'!N32</f>
        <v>477.70433000256213</v>
      </c>
      <c r="E83" s="201">
        <f>'housing proportion projections'!O32</f>
        <v>477.70433000256213</v>
      </c>
      <c r="F83" s="201">
        <f>'housing proportion projections'!P32</f>
        <v>477.70433000256213</v>
      </c>
      <c r="G83" s="201">
        <f>'housing proportion projections'!Q32</f>
        <v>477.70433000256213</v>
      </c>
      <c r="H83" s="201">
        <f>'housing proportion projections'!R32</f>
        <v>477.70433000256213</v>
      </c>
      <c r="I83" s="201">
        <f>'housing proportion projections'!S32</f>
        <v>477.70433000256213</v>
      </c>
      <c r="J83" s="201">
        <f>'housing proportion projections'!T32</f>
        <v>477.70433000256213</v>
      </c>
      <c r="K83" s="201">
        <f>'housing proportion projections'!U32</f>
        <v>477.70433000256213</v>
      </c>
      <c r="L83" s="200">
        <f t="shared" si="66"/>
        <v>4777.0433000256216</v>
      </c>
      <c r="M83" s="159"/>
      <c r="BF83" s="168"/>
      <c r="BG83" s="168"/>
      <c r="BH83" s="168"/>
      <c r="BI83" s="168"/>
      <c r="BJ83" s="168"/>
      <c r="BK83" s="168"/>
      <c r="BL83" s="168"/>
      <c r="BM83" s="168"/>
      <c r="BN83" s="168"/>
      <c r="BO83" s="168"/>
    </row>
    <row r="84" spans="1:67" s="156" customFormat="1" x14ac:dyDescent="0.35">
      <c r="A84" s="187" t="s">
        <v>26</v>
      </c>
      <c r="B84" s="201">
        <f>'housing proportion projections'!L33</f>
        <v>529.99914595610221</v>
      </c>
      <c r="C84" s="201">
        <f>'housing proportion projections'!M33</f>
        <v>529.99914595610221</v>
      </c>
      <c r="D84" s="201">
        <f>'housing proportion projections'!N33</f>
        <v>529.99914595610221</v>
      </c>
      <c r="E84" s="201">
        <f>'housing proportion projections'!O33</f>
        <v>529.99914595610221</v>
      </c>
      <c r="F84" s="201">
        <f>'housing proportion projections'!P33</f>
        <v>529.99914595610221</v>
      </c>
      <c r="G84" s="201">
        <f>'housing proportion projections'!Q33</f>
        <v>529.99914595610221</v>
      </c>
      <c r="H84" s="201">
        <f>'housing proportion projections'!R33</f>
        <v>529.99914595610221</v>
      </c>
      <c r="I84" s="201">
        <f>'housing proportion projections'!S33</f>
        <v>529.99914595610221</v>
      </c>
      <c r="J84" s="201">
        <f>'housing proportion projections'!T33</f>
        <v>529.99914595610221</v>
      </c>
      <c r="K84" s="201">
        <f>'housing proportion projections'!U33</f>
        <v>529.99914595610221</v>
      </c>
      <c r="L84" s="200">
        <f t="shared" si="66"/>
        <v>5299.9914595610235</v>
      </c>
      <c r="M84" s="161"/>
      <c r="N84" s="168"/>
      <c r="O84" s="147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51"/>
      <c r="AB84" s="168"/>
      <c r="AC84" s="168"/>
      <c r="AD84" s="168"/>
      <c r="AE84" s="151"/>
      <c r="AF84" s="168"/>
      <c r="AG84" s="168"/>
      <c r="AH84" s="168"/>
      <c r="AI84" s="168"/>
      <c r="AJ84" s="168"/>
      <c r="AK84" s="168"/>
      <c r="AL84" s="168"/>
      <c r="AM84" s="168"/>
      <c r="AN84" s="168"/>
      <c r="AO84" s="168"/>
      <c r="AP84" s="168"/>
      <c r="AQ84" s="168"/>
      <c r="AR84" s="168"/>
      <c r="AS84" s="168"/>
      <c r="AT84" s="168"/>
      <c r="AU84" s="168"/>
      <c r="AV84" s="168"/>
      <c r="AW84" s="168"/>
      <c r="AX84" s="168"/>
      <c r="AY84" s="168"/>
      <c r="AZ84" s="168"/>
      <c r="BA84" s="168"/>
      <c r="BB84" s="168"/>
      <c r="BC84" s="168"/>
      <c r="BD84" s="168"/>
      <c r="BE84" s="168"/>
      <c r="BF84" s="168"/>
      <c r="BG84" s="168"/>
      <c r="BH84" s="168"/>
      <c r="BI84" s="168"/>
      <c r="BJ84" s="168"/>
      <c r="BK84" s="168"/>
      <c r="BL84" s="168"/>
      <c r="BM84" s="168"/>
      <c r="BN84" s="168"/>
      <c r="BO84" s="168"/>
    </row>
    <row r="85" spans="1:67" s="155" customFormat="1" x14ac:dyDescent="0.35">
      <c r="A85" s="190" t="s">
        <v>22</v>
      </c>
      <c r="B85" s="201">
        <f>'housing proportion projections'!L34</f>
        <v>527.79571269963276</v>
      </c>
      <c r="C85" s="201">
        <f>'housing proportion projections'!M34</f>
        <v>527.79571269963276</v>
      </c>
      <c r="D85" s="201">
        <f>'housing proportion projections'!N34</f>
        <v>527.79571269963276</v>
      </c>
      <c r="E85" s="201">
        <f>'housing proportion projections'!O34</f>
        <v>527.79571269963276</v>
      </c>
      <c r="F85" s="201">
        <f>'housing proportion projections'!P34</f>
        <v>527.79571269963276</v>
      </c>
      <c r="G85" s="201">
        <f>'housing proportion projections'!Q34</f>
        <v>527.79571269963276</v>
      </c>
      <c r="H85" s="201">
        <f>'housing proportion projections'!R34</f>
        <v>527.79571269963276</v>
      </c>
      <c r="I85" s="201">
        <f>'housing proportion projections'!S34</f>
        <v>527.79571269963276</v>
      </c>
      <c r="J85" s="201">
        <f>'housing proportion projections'!T34</f>
        <v>527.79571269963276</v>
      </c>
      <c r="K85" s="201">
        <f>'housing proportion projections'!U34</f>
        <v>527.79571269963276</v>
      </c>
      <c r="L85" s="200">
        <f t="shared" si="66"/>
        <v>5277.9571269963262</v>
      </c>
      <c r="M85" s="162"/>
      <c r="N85" s="168"/>
      <c r="O85" s="147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51"/>
      <c r="AB85" s="168"/>
      <c r="AC85" s="168"/>
      <c r="AD85" s="168"/>
      <c r="AE85" s="151"/>
      <c r="AF85" s="168"/>
      <c r="AG85" s="168"/>
      <c r="AH85" s="168"/>
      <c r="AI85" s="168"/>
      <c r="AJ85" s="168"/>
      <c r="AK85" s="168"/>
      <c r="AL85" s="168"/>
      <c r="AM85" s="168"/>
      <c r="AN85" s="168"/>
      <c r="AO85" s="168"/>
      <c r="AP85" s="168"/>
      <c r="AQ85" s="168"/>
      <c r="AR85" s="168"/>
      <c r="AS85" s="168"/>
      <c r="AT85" s="168"/>
      <c r="AU85" s="168"/>
      <c r="AV85" s="168"/>
      <c r="AW85" s="168"/>
      <c r="AX85" s="168"/>
      <c r="AY85" s="168"/>
      <c r="AZ85" s="168"/>
      <c r="BA85" s="168"/>
      <c r="BB85" s="168"/>
      <c r="BC85" s="168"/>
      <c r="BD85" s="168"/>
      <c r="BE85" s="168"/>
      <c r="BF85" s="168"/>
      <c r="BG85" s="168"/>
      <c r="BH85" s="168"/>
      <c r="BI85" s="168"/>
      <c r="BJ85" s="168"/>
      <c r="BK85" s="168"/>
      <c r="BL85" s="168"/>
      <c r="BM85" s="168"/>
      <c r="BN85" s="168"/>
      <c r="BO85" s="168"/>
    </row>
    <row r="86" spans="1:67" s="155" customFormat="1" ht="15" thickBot="1" x14ac:dyDescent="0.4">
      <c r="A86" s="179"/>
      <c r="B86" s="179"/>
      <c r="C86" s="179"/>
      <c r="D86" s="212"/>
      <c r="E86" s="179"/>
      <c r="F86" s="179"/>
      <c r="G86" s="179"/>
      <c r="H86" s="179"/>
      <c r="I86" s="179"/>
      <c r="J86" s="179"/>
      <c r="K86" s="179"/>
      <c r="L86" s="179"/>
      <c r="M86" s="163"/>
      <c r="N86" s="168"/>
      <c r="O86" s="147"/>
      <c r="P86" s="168"/>
      <c r="Q86" s="168"/>
      <c r="R86" s="168"/>
      <c r="S86" s="168"/>
      <c r="T86" s="168"/>
      <c r="U86" s="168"/>
      <c r="V86" s="168"/>
      <c r="W86" s="168"/>
      <c r="X86" s="168"/>
      <c r="Y86" s="168"/>
      <c r="Z86" s="168"/>
      <c r="AA86" s="151"/>
      <c r="AB86" s="168"/>
      <c r="AC86" s="168"/>
      <c r="AD86" s="168"/>
      <c r="AE86" s="151"/>
      <c r="AF86" s="168"/>
      <c r="AG86" s="168"/>
      <c r="AH86" s="168"/>
      <c r="AI86" s="168"/>
      <c r="AJ86" s="168"/>
      <c r="AK86" s="168"/>
      <c r="AL86" s="168"/>
      <c r="AM86" s="168"/>
      <c r="AN86" s="168"/>
      <c r="AO86" s="168"/>
      <c r="AP86" s="168"/>
      <c r="AQ86" s="168"/>
      <c r="AR86" s="168"/>
      <c r="AS86" s="168"/>
      <c r="AT86" s="168"/>
      <c r="AU86" s="168"/>
      <c r="AV86" s="168"/>
      <c r="AW86" s="168"/>
      <c r="AX86" s="168"/>
      <c r="AY86" s="168"/>
      <c r="AZ86" s="168"/>
      <c r="BA86" s="168"/>
      <c r="BB86" s="168"/>
      <c r="BC86" s="168"/>
      <c r="BD86" s="168"/>
      <c r="BE86" s="168"/>
      <c r="BF86" s="168"/>
      <c r="BG86" s="168"/>
      <c r="BH86" s="168"/>
      <c r="BI86" s="168"/>
      <c r="BJ86" s="168"/>
      <c r="BK86" s="168"/>
      <c r="BL86" s="168"/>
      <c r="BM86" s="168"/>
      <c r="BN86" s="168"/>
      <c r="BO86" s="168"/>
    </row>
    <row r="87" spans="1:67" s="155" customFormat="1" x14ac:dyDescent="0.35">
      <c r="A87" s="191" t="s">
        <v>134</v>
      </c>
      <c r="B87" s="192"/>
      <c r="C87" s="192"/>
      <c r="D87" s="213"/>
      <c r="E87" s="192"/>
      <c r="F87" s="192"/>
      <c r="G87" s="192"/>
      <c r="H87" s="192"/>
      <c r="I87" s="192"/>
      <c r="J87" s="192"/>
      <c r="K87" s="192"/>
      <c r="L87" s="192"/>
      <c r="M87" s="162"/>
      <c r="N87" s="168"/>
      <c r="O87" s="147"/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51"/>
      <c r="AB87" s="168"/>
      <c r="AC87" s="168"/>
      <c r="AD87" s="168"/>
      <c r="AE87" s="151"/>
      <c r="AF87" s="168"/>
      <c r="AG87" s="168"/>
      <c r="AH87" s="168"/>
      <c r="AI87" s="168"/>
      <c r="AJ87" s="168"/>
      <c r="AK87" s="168"/>
      <c r="AL87" s="168"/>
      <c r="AM87" s="168"/>
      <c r="AN87" s="168"/>
      <c r="AO87" s="168"/>
      <c r="AP87" s="168"/>
      <c r="AQ87" s="168"/>
      <c r="AR87" s="168"/>
      <c r="AS87" s="168"/>
      <c r="AT87" s="168"/>
      <c r="AU87" s="168"/>
      <c r="AV87" s="168"/>
      <c r="AW87" s="168"/>
      <c r="AX87" s="168"/>
      <c r="AY87" s="168"/>
      <c r="AZ87" s="168"/>
      <c r="BA87" s="168"/>
      <c r="BB87" s="168"/>
      <c r="BC87" s="168"/>
      <c r="BD87" s="168"/>
      <c r="BE87" s="168"/>
      <c r="BF87" s="168"/>
      <c r="BG87" s="168"/>
      <c r="BH87" s="168"/>
      <c r="BI87" s="168"/>
      <c r="BJ87" s="168"/>
      <c r="BK87" s="168"/>
      <c r="BL87" s="168"/>
      <c r="BM87" s="168"/>
      <c r="BN87" s="168"/>
      <c r="BO87" s="168"/>
    </row>
    <row r="88" spans="1:67" s="157" customFormat="1" ht="15" thickBot="1" x14ac:dyDescent="0.4">
      <c r="A88" s="193" t="s">
        <v>112</v>
      </c>
      <c r="B88" s="214">
        <f>30*((B82*$AC$17)+(B83*$AC$18)+(B84*$AC$19)+(B85*$AC$20))+'scenario 3'!B88</f>
        <v>33577781.550779097</v>
      </c>
      <c r="C88" s="214">
        <f>30*((C82*$AC$17)+(C83*$AC$18)+(C84*$AC$19)+(C85*$AC$20))+'scenario 3'!C88</f>
        <v>33577781.550779097</v>
      </c>
      <c r="D88" s="214">
        <f>30*((D82*$AG$17)+(D83*$AG$18)+(D84*$AG$19)+(D85*$AG$20))+'scenario 3'!D88</f>
        <v>27550465.997085944</v>
      </c>
      <c r="E88" s="214">
        <f>30*((E82*$AG$17)+(E83*$AG$18)+(E84*$AG$19)+(E85*$AG$20))+'scenario 3'!E88</f>
        <v>27550465.997085944</v>
      </c>
      <c r="F88" s="214">
        <f>30*((F82*$AG$17)+(F83*$AG$18)+(F84*$AG$19)+(F85*$AG$20))+'scenario 3'!F88</f>
        <v>27550465.997085944</v>
      </c>
      <c r="G88" s="214">
        <f>30*((G82*$AG$17)+(G83*$AG$18)+(G84*$AG$19)+(G85*$AG$20))+'scenario 3'!G88</f>
        <v>27550465.997085944</v>
      </c>
      <c r="H88" s="214">
        <f>30*((H82*$AG$17)+(H83*$AG$18)+(H84*$AG$19)+(H85*$AG$20))+'scenario 3'!H88</f>
        <v>27550465.997085944</v>
      </c>
      <c r="I88" s="214">
        <f>30*((I82*$AG$17)+(I83*$AG$18)+(I84*$AG$19)+(I85*$AG$20))+'scenario 3'!I88</f>
        <v>27550465.997085944</v>
      </c>
      <c r="J88" s="214">
        <f>30*((J82*$AG$17)+(J83*$AG$18)+(J84*$AG$19)+(J85*$AG$20))+'scenario 3'!J88</f>
        <v>27550465.997085944</v>
      </c>
      <c r="K88" s="214">
        <f>30*((K82*$AG$17)+(K83*$AG$18)+(K84*$AG$19)+(K85*$AG$20))+'scenario 3'!K88</f>
        <v>27550465.997085944</v>
      </c>
      <c r="L88" s="214">
        <f>SUM(B88:K88)</f>
        <v>287559291.0782457</v>
      </c>
      <c r="M88" s="164"/>
      <c r="N88" s="168"/>
      <c r="O88" s="147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51"/>
      <c r="AB88" s="168"/>
      <c r="AC88" s="168"/>
      <c r="AD88" s="168"/>
      <c r="AE88" s="151"/>
      <c r="AF88" s="168"/>
      <c r="AG88" s="168"/>
      <c r="AH88" s="168"/>
      <c r="AI88" s="168"/>
      <c r="AJ88" s="168"/>
      <c r="AK88" s="168"/>
      <c r="AL88" s="168"/>
      <c r="AM88" s="168"/>
      <c r="AN88" s="168"/>
      <c r="AO88" s="168"/>
      <c r="AP88" s="168"/>
      <c r="AQ88" s="168"/>
      <c r="AR88" s="168"/>
      <c r="AS88" s="168"/>
      <c r="AT88" s="168"/>
      <c r="AU88" s="168"/>
      <c r="AV88" s="168"/>
      <c r="AW88" s="168"/>
      <c r="AX88" s="168"/>
      <c r="AY88" s="168"/>
      <c r="AZ88" s="168"/>
      <c r="BA88" s="168"/>
      <c r="BB88" s="168"/>
      <c r="BC88" s="168"/>
      <c r="BD88" s="168"/>
      <c r="BE88" s="168"/>
      <c r="BF88" s="168"/>
      <c r="BG88" s="168"/>
      <c r="BH88" s="168"/>
      <c r="BI88" s="168"/>
      <c r="BJ88" s="168"/>
      <c r="BK88" s="168"/>
      <c r="BL88" s="168"/>
      <c r="BM88" s="168"/>
      <c r="BN88" s="168"/>
      <c r="BO88" s="168"/>
    </row>
    <row r="89" spans="1:67" s="157" customFormat="1" ht="15" thickBot="1" x14ac:dyDescent="0.4">
      <c r="A89" s="193" t="s">
        <v>113</v>
      </c>
      <c r="B89" s="214">
        <f t="shared" ref="B89" si="67">B88/1000</f>
        <v>33577.781550779095</v>
      </c>
      <c r="C89" s="214">
        <f t="shared" ref="C89" si="68">C88/1000</f>
        <v>33577.781550779095</v>
      </c>
      <c r="D89" s="214">
        <f t="shared" ref="D89" si="69">D88/1000</f>
        <v>27550.465997085943</v>
      </c>
      <c r="E89" s="214">
        <f t="shared" ref="E89" si="70">E88/1000</f>
        <v>27550.465997085943</v>
      </c>
      <c r="F89" s="214">
        <f t="shared" ref="F89" si="71">F88/1000</f>
        <v>27550.465997085943</v>
      </c>
      <c r="G89" s="214">
        <f t="shared" ref="G89" si="72">G88/1000</f>
        <v>27550.465997085943</v>
      </c>
      <c r="H89" s="214">
        <f t="shared" ref="H89" si="73">H88/1000</f>
        <v>27550.465997085943</v>
      </c>
      <c r="I89" s="214">
        <f t="shared" ref="I89" si="74">I88/1000</f>
        <v>27550.465997085943</v>
      </c>
      <c r="J89" s="214">
        <f t="shared" ref="J89" si="75">J88/1000</f>
        <v>27550.465997085943</v>
      </c>
      <c r="K89" s="214">
        <f t="shared" ref="K89" si="76">K88/1000</f>
        <v>27550.465997085943</v>
      </c>
      <c r="L89" s="214">
        <f t="shared" ref="L89" si="77">L88/1000</f>
        <v>287559.29107824567</v>
      </c>
      <c r="M89" s="164"/>
      <c r="N89" s="168"/>
      <c r="O89" s="147"/>
      <c r="P89" s="168"/>
      <c r="Q89" s="168"/>
      <c r="R89" s="168"/>
      <c r="S89" s="168"/>
      <c r="T89" s="168"/>
      <c r="U89" s="168"/>
      <c r="V89" s="168"/>
      <c r="W89" s="168"/>
      <c r="X89" s="168"/>
      <c r="Y89" s="168"/>
      <c r="Z89" s="168"/>
      <c r="AA89" s="151"/>
      <c r="AB89" s="168"/>
      <c r="AC89" s="168"/>
      <c r="AD89" s="168"/>
      <c r="AE89" s="151"/>
      <c r="AF89" s="168"/>
      <c r="AG89" s="168"/>
      <c r="AH89" s="168"/>
      <c r="AI89" s="168"/>
      <c r="AJ89" s="168"/>
      <c r="AK89" s="168"/>
      <c r="AL89" s="168"/>
      <c r="AM89" s="168"/>
      <c r="AN89" s="168"/>
      <c r="AO89" s="168"/>
      <c r="AP89" s="168"/>
      <c r="AQ89" s="168"/>
      <c r="AR89" s="168"/>
      <c r="AS89" s="168"/>
      <c r="AT89" s="168"/>
      <c r="AU89" s="168"/>
      <c r="AV89" s="168"/>
      <c r="AW89" s="168"/>
      <c r="AX89" s="168"/>
      <c r="AY89" s="168"/>
      <c r="AZ89" s="168"/>
      <c r="BA89" s="168"/>
      <c r="BB89" s="168"/>
      <c r="BC89" s="168"/>
      <c r="BD89" s="168"/>
      <c r="BE89" s="168"/>
      <c r="BF89" s="168"/>
      <c r="BG89" s="168"/>
      <c r="BH89" s="168"/>
      <c r="BI89" s="168"/>
      <c r="BJ89" s="168"/>
      <c r="BK89" s="168"/>
      <c r="BL89" s="168"/>
      <c r="BM89" s="168"/>
      <c r="BN89" s="168"/>
      <c r="BO89" s="168"/>
    </row>
    <row r="90" spans="1:67" ht="14.25" customHeight="1" x14ac:dyDescent="0.35">
      <c r="A90" s="193" t="s">
        <v>64</v>
      </c>
      <c r="B90" s="215">
        <f t="shared" ref="B90" si="78">B89*$X$3</f>
        <v>7857200.8828823082</v>
      </c>
      <c r="C90" s="215">
        <f t="shared" ref="C90" si="79">C89*$X$3</f>
        <v>7857200.8828823082</v>
      </c>
      <c r="D90" s="215">
        <f t="shared" ref="D90" si="80">D89*$X$3</f>
        <v>6446809.0433181105</v>
      </c>
      <c r="E90" s="215">
        <f t="shared" ref="E90" si="81">E89*$X$3</f>
        <v>6446809.0433181105</v>
      </c>
      <c r="F90" s="215">
        <f t="shared" ref="F90" si="82">F89*$X$3</f>
        <v>6446809.0433181105</v>
      </c>
      <c r="G90" s="215">
        <f t="shared" ref="G90" si="83">G89*$X$3</f>
        <v>6446809.0433181105</v>
      </c>
      <c r="H90" s="215">
        <f t="shared" ref="H90" si="84">H89*$X$3</f>
        <v>6446809.0433181105</v>
      </c>
      <c r="I90" s="215">
        <f t="shared" ref="I90" si="85">I89*$X$3</f>
        <v>6446809.0433181105</v>
      </c>
      <c r="J90" s="215">
        <f t="shared" ref="J90" si="86">J89*$X$3</f>
        <v>6446809.0433181105</v>
      </c>
      <c r="K90" s="215">
        <f t="shared" ref="K90" si="87">K89*$X$3</f>
        <v>6446809.0433181105</v>
      </c>
      <c r="L90" s="215">
        <f t="shared" ref="L90" si="88">L89*$X$3</f>
        <v>67288874.112309486</v>
      </c>
      <c r="M90" s="159"/>
      <c r="BF90" s="168"/>
      <c r="BG90" s="168"/>
      <c r="BH90" s="168"/>
      <c r="BI90" s="168"/>
      <c r="BJ90" s="168"/>
      <c r="BK90" s="168"/>
      <c r="BL90" s="168"/>
      <c r="BM90" s="168"/>
      <c r="BN90" s="168"/>
      <c r="BO90" s="168"/>
    </row>
    <row r="91" spans="1:67" x14ac:dyDescent="0.35">
      <c r="A91" s="193"/>
      <c r="B91" s="194"/>
      <c r="C91" s="194"/>
      <c r="D91" s="214"/>
      <c r="E91" s="194"/>
      <c r="F91" s="194"/>
      <c r="G91" s="194"/>
      <c r="H91" s="194"/>
      <c r="I91" s="194"/>
      <c r="J91" s="194"/>
      <c r="K91" s="194"/>
      <c r="L91" s="194"/>
      <c r="M91" s="159"/>
      <c r="BF91" s="168"/>
      <c r="BG91" s="168"/>
      <c r="BH91" s="168"/>
      <c r="BI91" s="168"/>
      <c r="BJ91" s="168"/>
      <c r="BK91" s="168"/>
      <c r="BL91" s="168"/>
      <c r="BM91" s="168"/>
      <c r="BN91" s="168"/>
      <c r="BO91" s="168"/>
    </row>
    <row r="92" spans="1:67" ht="15" thickBot="1" x14ac:dyDescent="0.4">
      <c r="A92" s="197"/>
      <c r="B92" s="198"/>
      <c r="C92" s="198"/>
      <c r="D92" s="216"/>
      <c r="E92" s="198"/>
      <c r="F92" s="198"/>
      <c r="G92" s="198"/>
      <c r="H92" s="198"/>
      <c r="I92" s="198"/>
      <c r="J92" s="198"/>
      <c r="K92" s="198"/>
      <c r="L92" s="198"/>
      <c r="M92" s="159"/>
      <c r="BF92" s="168"/>
      <c r="BG92" s="168"/>
      <c r="BH92" s="168"/>
      <c r="BI92" s="168"/>
      <c r="BJ92" s="168"/>
      <c r="BK92" s="168"/>
      <c r="BL92" s="168"/>
      <c r="BM92" s="168"/>
      <c r="BN92" s="168"/>
      <c r="BO92" s="168"/>
    </row>
    <row r="93" spans="1:67" x14ac:dyDescent="0.35">
      <c r="A93" s="179"/>
      <c r="B93" s="179"/>
      <c r="C93" s="179"/>
      <c r="D93" s="212"/>
      <c r="E93" s="179"/>
      <c r="F93" s="179"/>
      <c r="G93" s="179"/>
      <c r="H93" s="179"/>
      <c r="I93" s="179"/>
      <c r="J93" s="179"/>
      <c r="K93" s="179"/>
      <c r="L93" s="179"/>
      <c r="M93" s="160"/>
      <c r="BF93" s="168"/>
      <c r="BG93" s="168"/>
      <c r="BH93" s="168"/>
      <c r="BI93" s="168"/>
      <c r="BJ93" s="168"/>
      <c r="BK93" s="168"/>
      <c r="BL93" s="168"/>
      <c r="BM93" s="168"/>
      <c r="BN93" s="168"/>
      <c r="BO93" s="168"/>
    </row>
    <row r="94" spans="1:67" x14ac:dyDescent="0.35">
      <c r="A94" s="179"/>
      <c r="B94" s="179"/>
      <c r="C94" s="179"/>
      <c r="D94" s="212"/>
      <c r="E94" s="179"/>
      <c r="F94" s="179"/>
      <c r="G94" s="179"/>
      <c r="H94" s="179"/>
      <c r="I94" s="179"/>
      <c r="J94" s="179"/>
      <c r="K94" s="179"/>
      <c r="L94" s="179"/>
      <c r="M94" s="159"/>
      <c r="BF94" s="168"/>
      <c r="BG94" s="168"/>
      <c r="BH94" s="168"/>
      <c r="BI94" s="168"/>
      <c r="BJ94" s="168"/>
      <c r="BK94" s="168"/>
      <c r="BL94" s="168"/>
      <c r="BM94" s="168"/>
      <c r="BN94" s="168"/>
      <c r="BO94" s="168"/>
    </row>
    <row r="95" spans="1:67" x14ac:dyDescent="0.35">
      <c r="A95" s="180" t="s">
        <v>0</v>
      </c>
      <c r="B95" s="182" t="s">
        <v>10</v>
      </c>
      <c r="C95" s="182" t="s">
        <v>11</v>
      </c>
      <c r="D95" s="209" t="s">
        <v>12</v>
      </c>
      <c r="E95" s="182" t="s">
        <v>13</v>
      </c>
      <c r="F95" s="182" t="s">
        <v>14</v>
      </c>
      <c r="G95" s="182" t="s">
        <v>15</v>
      </c>
      <c r="H95" s="182" t="s">
        <v>16</v>
      </c>
      <c r="I95" s="183" t="s">
        <v>17</v>
      </c>
      <c r="J95" s="184" t="s">
        <v>23</v>
      </c>
      <c r="K95" s="184" t="s">
        <v>24</v>
      </c>
      <c r="L95" s="185" t="s">
        <v>18</v>
      </c>
      <c r="M95" s="159"/>
      <c r="BF95" s="168"/>
      <c r="BG95" s="168"/>
      <c r="BH95" s="168"/>
      <c r="BI95" s="168"/>
      <c r="BJ95" s="168"/>
      <c r="BK95" s="168"/>
      <c r="BL95" s="168"/>
      <c r="BM95" s="168"/>
      <c r="BN95" s="168"/>
      <c r="BO95" s="168"/>
    </row>
    <row r="96" spans="1:67" x14ac:dyDescent="0.35">
      <c r="A96" s="154" t="s">
        <v>32</v>
      </c>
      <c r="B96" s="199">
        <v>764</v>
      </c>
      <c r="C96" s="199">
        <v>764</v>
      </c>
      <c r="D96" s="217">
        <v>764</v>
      </c>
      <c r="E96" s="199">
        <v>764</v>
      </c>
      <c r="F96" s="199">
        <v>764</v>
      </c>
      <c r="G96" s="199">
        <v>764</v>
      </c>
      <c r="H96" s="199">
        <v>764</v>
      </c>
      <c r="I96" s="199">
        <v>764</v>
      </c>
      <c r="J96" s="199">
        <v>764</v>
      </c>
      <c r="K96" s="199">
        <v>764</v>
      </c>
      <c r="L96" s="200">
        <f>SUM(B96:K96)</f>
        <v>7640</v>
      </c>
      <c r="M96" s="159"/>
      <c r="BF96" s="168"/>
      <c r="BG96" s="168"/>
      <c r="BH96" s="168"/>
      <c r="BI96" s="168"/>
      <c r="BJ96" s="168"/>
      <c r="BK96" s="168"/>
      <c r="BL96" s="168"/>
      <c r="BM96" s="168"/>
      <c r="BN96" s="168"/>
      <c r="BO96" s="168"/>
    </row>
    <row r="97" spans="1:67" s="158" customFormat="1" x14ac:dyDescent="0.35">
      <c r="A97" s="187" t="s">
        <v>20</v>
      </c>
      <c r="B97" s="201">
        <f>'housing proportion projections'!L36</f>
        <v>181.25388923459863</v>
      </c>
      <c r="C97" s="201">
        <f>'housing proportion projections'!M36</f>
        <v>181.25388923459863</v>
      </c>
      <c r="D97" s="201">
        <f>'housing proportion projections'!N36</f>
        <v>181.25388923459863</v>
      </c>
      <c r="E97" s="201">
        <f>'housing proportion projections'!O36</f>
        <v>181.25388923459863</v>
      </c>
      <c r="F97" s="201">
        <f>'housing proportion projections'!P36</f>
        <v>181.25388923459863</v>
      </c>
      <c r="G97" s="201">
        <f>'housing proportion projections'!Q36</f>
        <v>181.25388923459863</v>
      </c>
      <c r="H97" s="201">
        <f>'housing proportion projections'!R36</f>
        <v>181.25388923459863</v>
      </c>
      <c r="I97" s="201">
        <f>'housing proportion projections'!S36</f>
        <v>181.25388923459863</v>
      </c>
      <c r="J97" s="201">
        <f>'housing proportion projections'!T36</f>
        <v>181.25388923459863</v>
      </c>
      <c r="K97" s="201">
        <f>'housing proportion projections'!U36</f>
        <v>181.25388923459863</v>
      </c>
      <c r="L97" s="200">
        <f t="shared" ref="L97:L100" si="89">SUM(B97:K97)</f>
        <v>1812.5388923459859</v>
      </c>
      <c r="M97" s="167"/>
      <c r="N97" s="168"/>
      <c r="O97" s="147"/>
      <c r="P97" s="168"/>
      <c r="Q97" s="168"/>
      <c r="R97" s="168"/>
      <c r="S97" s="168"/>
      <c r="T97" s="168"/>
      <c r="U97" s="168"/>
      <c r="V97" s="168"/>
      <c r="W97" s="168"/>
      <c r="X97" s="168"/>
      <c r="Y97" s="168"/>
      <c r="Z97" s="168"/>
      <c r="AA97" s="151"/>
      <c r="AB97" s="168"/>
      <c r="AC97" s="168"/>
      <c r="AD97" s="168"/>
      <c r="AE97" s="151"/>
      <c r="AF97" s="168"/>
      <c r="AG97" s="168"/>
      <c r="AH97" s="168"/>
      <c r="AI97" s="168"/>
      <c r="AJ97" s="168"/>
      <c r="AK97" s="168"/>
      <c r="AL97" s="168"/>
      <c r="AM97" s="168"/>
      <c r="AN97" s="168"/>
      <c r="AO97" s="168"/>
      <c r="AP97" s="168"/>
      <c r="AQ97" s="168"/>
      <c r="AR97" s="168"/>
      <c r="AS97" s="168"/>
      <c r="AT97" s="168"/>
      <c r="AU97" s="168"/>
      <c r="AV97" s="168"/>
      <c r="AW97" s="168"/>
      <c r="AX97" s="168"/>
      <c r="AY97" s="168"/>
      <c r="AZ97" s="168"/>
      <c r="BA97" s="168"/>
      <c r="BB97" s="168"/>
      <c r="BC97" s="168"/>
      <c r="BD97" s="168"/>
      <c r="BE97" s="168"/>
      <c r="BF97" s="168"/>
      <c r="BG97" s="168"/>
      <c r="BH97" s="168"/>
      <c r="BI97" s="168"/>
      <c r="BJ97" s="168"/>
      <c r="BK97" s="168"/>
      <c r="BL97" s="168"/>
      <c r="BM97" s="168"/>
      <c r="BN97" s="168"/>
      <c r="BO97" s="168"/>
    </row>
    <row r="98" spans="1:67" ht="15" thickBot="1" x14ac:dyDescent="0.4">
      <c r="A98" s="187" t="s">
        <v>21</v>
      </c>
      <c r="B98" s="201">
        <f>'housing proportion projections'!L37</f>
        <v>280.61667703795894</v>
      </c>
      <c r="C98" s="201">
        <f>'housing proportion projections'!M37</f>
        <v>280.61667703795894</v>
      </c>
      <c r="D98" s="201">
        <f>'housing proportion projections'!N37</f>
        <v>280.61667703795894</v>
      </c>
      <c r="E98" s="201">
        <f>'housing proportion projections'!O37</f>
        <v>280.61667703795894</v>
      </c>
      <c r="F98" s="201">
        <f>'housing proportion projections'!P37</f>
        <v>280.61667703795894</v>
      </c>
      <c r="G98" s="201">
        <f>'housing proportion projections'!Q37</f>
        <v>280.61667703795894</v>
      </c>
      <c r="H98" s="201">
        <f>'housing proportion projections'!R37</f>
        <v>280.61667703795894</v>
      </c>
      <c r="I98" s="201">
        <f>'housing proportion projections'!S37</f>
        <v>280.61667703795894</v>
      </c>
      <c r="J98" s="201">
        <f>'housing proportion projections'!T37</f>
        <v>280.61667703795894</v>
      </c>
      <c r="K98" s="201">
        <f>'housing proportion projections'!U37</f>
        <v>280.61667703795894</v>
      </c>
      <c r="L98" s="200">
        <f t="shared" si="89"/>
        <v>2806.1667703795897</v>
      </c>
      <c r="M98" s="159"/>
      <c r="BF98" s="168"/>
      <c r="BG98" s="168"/>
      <c r="BH98" s="168"/>
      <c r="BI98" s="168"/>
      <c r="BJ98" s="168"/>
      <c r="BK98" s="168"/>
      <c r="BL98" s="168"/>
      <c r="BM98" s="168"/>
      <c r="BN98" s="168"/>
      <c r="BO98" s="168"/>
    </row>
    <row r="99" spans="1:67" s="156" customFormat="1" x14ac:dyDescent="0.35">
      <c r="A99" s="187" t="s">
        <v>26</v>
      </c>
      <c r="B99" s="201">
        <f>'housing proportion projections'!L38</f>
        <v>177.56938394523957</v>
      </c>
      <c r="C99" s="201">
        <f>'housing proportion projections'!M38</f>
        <v>177.56938394523957</v>
      </c>
      <c r="D99" s="201">
        <f>'housing proportion projections'!N38</f>
        <v>177.56938394523957</v>
      </c>
      <c r="E99" s="201">
        <f>'housing proportion projections'!O38</f>
        <v>177.56938394523957</v>
      </c>
      <c r="F99" s="201">
        <f>'housing proportion projections'!P38</f>
        <v>177.56938394523957</v>
      </c>
      <c r="G99" s="201">
        <f>'housing proportion projections'!Q38</f>
        <v>177.56938394523957</v>
      </c>
      <c r="H99" s="201">
        <f>'housing proportion projections'!R38</f>
        <v>177.56938394523957</v>
      </c>
      <c r="I99" s="201">
        <f>'housing proportion projections'!S38</f>
        <v>177.56938394523957</v>
      </c>
      <c r="J99" s="201">
        <f>'housing proportion projections'!T38</f>
        <v>177.56938394523957</v>
      </c>
      <c r="K99" s="201">
        <f>'housing proportion projections'!U38</f>
        <v>177.56938394523957</v>
      </c>
      <c r="L99" s="200">
        <f t="shared" si="89"/>
        <v>1775.6938394523959</v>
      </c>
      <c r="M99" s="161"/>
      <c r="N99" s="168"/>
      <c r="O99" s="147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  <c r="AA99" s="151"/>
      <c r="AB99" s="168"/>
      <c r="AC99" s="168"/>
      <c r="AD99" s="168"/>
      <c r="AE99" s="151"/>
      <c r="AF99" s="168"/>
      <c r="AG99" s="168"/>
      <c r="AH99" s="168"/>
      <c r="AI99" s="168"/>
      <c r="AJ99" s="168"/>
      <c r="AK99" s="168"/>
      <c r="AL99" s="168"/>
      <c r="AM99" s="168"/>
      <c r="AN99" s="168"/>
      <c r="AO99" s="168"/>
      <c r="AP99" s="168"/>
      <c r="AQ99" s="168"/>
      <c r="AR99" s="168"/>
      <c r="AS99" s="168"/>
      <c r="AT99" s="168"/>
      <c r="AU99" s="168"/>
      <c r="AV99" s="168"/>
      <c r="AW99" s="168"/>
      <c r="AX99" s="168"/>
      <c r="AY99" s="168"/>
      <c r="AZ99" s="168"/>
      <c r="BA99" s="168"/>
      <c r="BB99" s="168"/>
      <c r="BC99" s="168"/>
      <c r="BD99" s="168"/>
      <c r="BE99" s="168"/>
      <c r="BF99" s="168"/>
      <c r="BG99" s="168"/>
      <c r="BH99" s="168"/>
      <c r="BI99" s="168"/>
      <c r="BJ99" s="168"/>
      <c r="BK99" s="168"/>
      <c r="BL99" s="168"/>
      <c r="BM99" s="168"/>
      <c r="BN99" s="168"/>
      <c r="BO99" s="168"/>
    </row>
    <row r="100" spans="1:67" s="155" customFormat="1" x14ac:dyDescent="0.35">
      <c r="A100" s="190" t="s">
        <v>22</v>
      </c>
      <c r="B100" s="201">
        <f>'housing proportion projections'!L39</f>
        <v>124.56004978220285</v>
      </c>
      <c r="C100" s="201">
        <f>'housing proportion projections'!M39</f>
        <v>124.56004978220285</v>
      </c>
      <c r="D100" s="201">
        <f>'housing proportion projections'!N39</f>
        <v>124.56004978220285</v>
      </c>
      <c r="E100" s="201">
        <f>'housing proportion projections'!O39</f>
        <v>124.56004978220285</v>
      </c>
      <c r="F100" s="201">
        <f>'housing proportion projections'!P39</f>
        <v>124.56004978220285</v>
      </c>
      <c r="G100" s="201">
        <f>'housing proportion projections'!Q39</f>
        <v>124.56004978220285</v>
      </c>
      <c r="H100" s="201">
        <f>'housing proportion projections'!R39</f>
        <v>124.56004978220285</v>
      </c>
      <c r="I100" s="201">
        <f>'housing proportion projections'!S39</f>
        <v>124.56004978220285</v>
      </c>
      <c r="J100" s="201">
        <f>'housing proportion projections'!T39</f>
        <v>124.56004978220285</v>
      </c>
      <c r="K100" s="201">
        <f>'housing proportion projections'!U39</f>
        <v>124.56004978220285</v>
      </c>
      <c r="L100" s="200">
        <f t="shared" si="89"/>
        <v>1245.6004978220287</v>
      </c>
      <c r="M100" s="162"/>
      <c r="N100" s="168"/>
      <c r="O100" s="147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  <c r="AA100" s="151"/>
      <c r="AB100" s="168"/>
      <c r="AC100" s="168"/>
      <c r="AD100" s="168"/>
      <c r="AE100" s="151"/>
      <c r="AF100" s="168"/>
      <c r="AG100" s="168"/>
      <c r="AH100" s="168"/>
      <c r="AI100" s="168"/>
      <c r="AJ100" s="168"/>
      <c r="AK100" s="168"/>
      <c r="AL100" s="168"/>
      <c r="AM100" s="168"/>
      <c r="AN100" s="168"/>
      <c r="AO100" s="168"/>
      <c r="AP100" s="168"/>
      <c r="AQ100" s="168"/>
      <c r="AR100" s="168"/>
      <c r="AS100" s="168"/>
      <c r="AT100" s="168"/>
      <c r="AU100" s="168"/>
      <c r="AV100" s="168"/>
      <c r="AW100" s="168"/>
      <c r="AX100" s="168"/>
      <c r="AY100" s="168"/>
      <c r="AZ100" s="168"/>
      <c r="BA100" s="168"/>
      <c r="BB100" s="168"/>
      <c r="BC100" s="168"/>
      <c r="BD100" s="168"/>
      <c r="BE100" s="168"/>
      <c r="BF100" s="168"/>
      <c r="BG100" s="168"/>
      <c r="BH100" s="168"/>
      <c r="BI100" s="168"/>
      <c r="BJ100" s="168"/>
      <c r="BK100" s="168"/>
      <c r="BL100" s="168"/>
      <c r="BM100" s="168"/>
      <c r="BN100" s="168"/>
      <c r="BO100" s="168"/>
    </row>
    <row r="101" spans="1:67" s="155" customFormat="1" ht="15" thickBot="1" x14ac:dyDescent="0.4">
      <c r="A101" s="179"/>
      <c r="B101" s="179"/>
      <c r="C101" s="179"/>
      <c r="D101" s="212"/>
      <c r="E101" s="179"/>
      <c r="F101" s="179"/>
      <c r="G101" s="179"/>
      <c r="H101" s="179"/>
      <c r="I101" s="179"/>
      <c r="J101" s="179"/>
      <c r="K101" s="179"/>
      <c r="L101" s="179"/>
      <c r="M101" s="163"/>
      <c r="N101" s="168"/>
      <c r="O101" s="147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  <c r="Z101" s="168"/>
      <c r="AA101" s="151"/>
      <c r="AB101" s="168"/>
      <c r="AC101" s="168"/>
      <c r="AD101" s="168"/>
      <c r="AE101" s="151"/>
      <c r="AF101" s="168"/>
      <c r="AG101" s="168"/>
      <c r="AH101" s="168"/>
      <c r="AI101" s="168"/>
      <c r="AJ101" s="168"/>
      <c r="AK101" s="168"/>
      <c r="AL101" s="168"/>
      <c r="AM101" s="168"/>
      <c r="AN101" s="168"/>
      <c r="AO101" s="168"/>
      <c r="AP101" s="168"/>
      <c r="AQ101" s="168"/>
      <c r="AR101" s="168"/>
      <c r="AS101" s="168"/>
      <c r="AT101" s="168"/>
      <c r="AU101" s="168"/>
      <c r="AV101" s="168"/>
      <c r="AW101" s="168"/>
      <c r="AX101" s="168"/>
      <c r="AY101" s="168"/>
      <c r="AZ101" s="168"/>
      <c r="BA101" s="168"/>
      <c r="BB101" s="168"/>
      <c r="BC101" s="168"/>
      <c r="BD101" s="168"/>
      <c r="BE101" s="168"/>
      <c r="BF101" s="168"/>
      <c r="BG101" s="168"/>
      <c r="BH101" s="168"/>
      <c r="BI101" s="168"/>
      <c r="BJ101" s="168"/>
      <c r="BK101" s="168"/>
      <c r="BL101" s="168"/>
      <c r="BM101" s="168"/>
      <c r="BN101" s="168"/>
      <c r="BO101" s="168"/>
    </row>
    <row r="102" spans="1:67" s="155" customFormat="1" x14ac:dyDescent="0.35">
      <c r="A102" s="191" t="s">
        <v>134</v>
      </c>
      <c r="B102" s="192"/>
      <c r="C102" s="192"/>
      <c r="D102" s="213"/>
      <c r="E102" s="192"/>
      <c r="F102" s="192"/>
      <c r="G102" s="192"/>
      <c r="H102" s="192"/>
      <c r="I102" s="192"/>
      <c r="J102" s="192"/>
      <c r="K102" s="192"/>
      <c r="L102" s="192"/>
      <c r="M102" s="162"/>
      <c r="N102" s="168"/>
      <c r="O102" s="147"/>
      <c r="P102" s="168"/>
      <c r="Q102" s="168"/>
      <c r="R102" s="168"/>
      <c r="S102" s="168"/>
      <c r="T102" s="168"/>
      <c r="U102" s="168"/>
      <c r="V102" s="168"/>
      <c r="W102" s="168"/>
      <c r="X102" s="168"/>
      <c r="Y102" s="168"/>
      <c r="Z102" s="168"/>
      <c r="AA102" s="151"/>
      <c r="AB102" s="168"/>
      <c r="AC102" s="168"/>
      <c r="AD102" s="168"/>
      <c r="AE102" s="151"/>
      <c r="AF102" s="168"/>
      <c r="AG102" s="168"/>
      <c r="AH102" s="168"/>
      <c r="AI102" s="168"/>
      <c r="AJ102" s="168"/>
      <c r="AK102" s="168"/>
      <c r="AL102" s="168"/>
      <c r="AM102" s="168"/>
      <c r="AN102" s="168"/>
      <c r="AO102" s="168"/>
      <c r="AP102" s="168"/>
      <c r="AQ102" s="168"/>
      <c r="AR102" s="168"/>
      <c r="AS102" s="168"/>
      <c r="AT102" s="168"/>
      <c r="AU102" s="168"/>
      <c r="AV102" s="168"/>
      <c r="AW102" s="168"/>
      <c r="AX102" s="168"/>
      <c r="AY102" s="168"/>
      <c r="AZ102" s="168"/>
      <c r="BA102" s="168"/>
      <c r="BB102" s="168"/>
      <c r="BC102" s="168"/>
      <c r="BD102" s="168"/>
      <c r="BE102" s="168"/>
      <c r="BF102" s="168"/>
      <c r="BG102" s="168"/>
      <c r="BH102" s="168"/>
      <c r="BI102" s="168"/>
      <c r="BJ102" s="168"/>
      <c r="BK102" s="168"/>
      <c r="BL102" s="168"/>
      <c r="BM102" s="168"/>
      <c r="BN102" s="168"/>
      <c r="BO102" s="168"/>
    </row>
    <row r="103" spans="1:67" s="157" customFormat="1" ht="15" thickBot="1" x14ac:dyDescent="0.4">
      <c r="A103" s="193" t="s">
        <v>112</v>
      </c>
      <c r="B103" s="214">
        <f>30*((B97*$AC$17)+(B98*$AC$18)+(B99*$AC$19)+(B100*$AC$20))+'scenario 3'!B103</f>
        <v>15997431.541270491</v>
      </c>
      <c r="C103" s="214">
        <f>30*((C97*$AC$17)+(C98*$AC$18)+(C99*$AC$19)+(C100*$AC$20))+'scenario 3'!C103</f>
        <v>15997431.541270491</v>
      </c>
      <c r="D103" s="214">
        <f>30*((D97*$AG$17)+(D98*$AG$18)+(D99*$AG$19)+(D100*$AG$20))+'scenario 3'!D103</f>
        <v>13156404.824055627</v>
      </c>
      <c r="E103" s="214">
        <f>30*((E97*$AG$17)+(E98*$AG$18)+(E99*$AG$19)+(E100*$AG$20))+'scenario 3'!E103</f>
        <v>13156404.824055627</v>
      </c>
      <c r="F103" s="214">
        <f>30*((F97*$AG$17)+(F98*$AG$18)+(F99*$AG$19)+(F100*$AG$20))+'scenario 3'!F103</f>
        <v>13156404.824055627</v>
      </c>
      <c r="G103" s="214">
        <f>30*((G97*$AG$17)+(G98*$AG$18)+(G99*$AG$19)+(G100*$AG$20))+'scenario 3'!G103</f>
        <v>13156404.824055627</v>
      </c>
      <c r="H103" s="214">
        <f>30*((H97*$AG$17)+(H98*$AG$18)+(H99*$AG$19)+(H100*$AG$20))+'scenario 3'!H103</f>
        <v>13156404.824055627</v>
      </c>
      <c r="I103" s="214">
        <f>30*((I97*$AG$17)+(I98*$AG$18)+(I99*$AG$19)+(I100*$AG$20))+'scenario 3'!I103</f>
        <v>13156404.824055627</v>
      </c>
      <c r="J103" s="214">
        <f>30*((J97*$AG$17)+(J98*$AG$18)+(J99*$AG$19)+(J100*$AG$20))+'scenario 3'!J103</f>
        <v>13156404.824055627</v>
      </c>
      <c r="K103" s="214">
        <f>30*((K97*$AG$17)+(K98*$AG$18)+(K99*$AG$19)+(K100*$AG$20))+'scenario 3'!K103</f>
        <v>13156404.824055627</v>
      </c>
      <c r="L103" s="214">
        <f>SUM(B103:K103)</f>
        <v>137246101.674986</v>
      </c>
      <c r="M103" s="164"/>
      <c r="N103" s="168"/>
      <c r="O103" s="147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51"/>
      <c r="AB103" s="168"/>
      <c r="AC103" s="168"/>
      <c r="AD103" s="168"/>
      <c r="AE103" s="151"/>
      <c r="AF103" s="168"/>
      <c r="AG103" s="168"/>
      <c r="AH103" s="168"/>
      <c r="AI103" s="168"/>
      <c r="AJ103" s="168"/>
      <c r="AK103" s="168"/>
      <c r="AL103" s="168"/>
      <c r="AM103" s="168"/>
      <c r="AN103" s="168"/>
      <c r="AO103" s="168"/>
      <c r="AP103" s="168"/>
      <c r="AQ103" s="168"/>
      <c r="AR103" s="168"/>
      <c r="AS103" s="168"/>
      <c r="AT103" s="168"/>
      <c r="AU103" s="168"/>
      <c r="AV103" s="168"/>
      <c r="AW103" s="168"/>
      <c r="AX103" s="168"/>
      <c r="AY103" s="168"/>
      <c r="AZ103" s="168"/>
      <c r="BA103" s="168"/>
      <c r="BB103" s="168"/>
      <c r="BC103" s="168"/>
      <c r="BD103" s="168"/>
      <c r="BE103" s="168"/>
      <c r="BF103" s="168"/>
      <c r="BG103" s="168"/>
      <c r="BH103" s="168"/>
      <c r="BI103" s="168"/>
      <c r="BJ103" s="168"/>
      <c r="BK103" s="168"/>
      <c r="BL103" s="168"/>
      <c r="BM103" s="168"/>
      <c r="BN103" s="168"/>
      <c r="BO103" s="168"/>
    </row>
    <row r="104" spans="1:67" s="157" customFormat="1" ht="15" thickBot="1" x14ac:dyDescent="0.4">
      <c r="A104" s="193" t="s">
        <v>113</v>
      </c>
      <c r="B104" s="214">
        <f t="shared" ref="B104" si="90">B103/1000</f>
        <v>15997.431541270491</v>
      </c>
      <c r="C104" s="214">
        <f t="shared" ref="C104" si="91">C103/1000</f>
        <v>15997.431541270491</v>
      </c>
      <c r="D104" s="214">
        <f t="shared" ref="D104" si="92">D103/1000</f>
        <v>13156.404824055628</v>
      </c>
      <c r="E104" s="214">
        <f t="shared" ref="E104" si="93">E103/1000</f>
        <v>13156.404824055628</v>
      </c>
      <c r="F104" s="214">
        <f t="shared" ref="F104" si="94">F103/1000</f>
        <v>13156.404824055628</v>
      </c>
      <c r="G104" s="214">
        <f t="shared" ref="G104" si="95">G103/1000</f>
        <v>13156.404824055628</v>
      </c>
      <c r="H104" s="214">
        <f t="shared" ref="H104" si="96">H103/1000</f>
        <v>13156.404824055628</v>
      </c>
      <c r="I104" s="214">
        <f t="shared" ref="I104" si="97">I103/1000</f>
        <v>13156.404824055628</v>
      </c>
      <c r="J104" s="214">
        <f t="shared" ref="J104" si="98">J103/1000</f>
        <v>13156.404824055628</v>
      </c>
      <c r="K104" s="214">
        <f t="shared" ref="K104" si="99">K103/1000</f>
        <v>13156.404824055628</v>
      </c>
      <c r="L104" s="214">
        <f t="shared" ref="L104" si="100">L103/1000</f>
        <v>137246.10167498601</v>
      </c>
      <c r="M104" s="164"/>
      <c r="N104" s="168"/>
      <c r="O104" s="147"/>
      <c r="P104" s="168"/>
      <c r="Q104" s="168"/>
      <c r="R104" s="168"/>
      <c r="S104" s="168"/>
      <c r="T104" s="168"/>
      <c r="U104" s="168"/>
      <c r="V104" s="168"/>
      <c r="W104" s="168"/>
      <c r="X104" s="168"/>
      <c r="Y104" s="168"/>
      <c r="Z104" s="168"/>
      <c r="AA104" s="151"/>
      <c r="AB104" s="168"/>
      <c r="AC104" s="168"/>
      <c r="AD104" s="168"/>
      <c r="AE104" s="151"/>
      <c r="AF104" s="168"/>
      <c r="AG104" s="168"/>
      <c r="AH104" s="168"/>
      <c r="AI104" s="168"/>
      <c r="AJ104" s="168"/>
      <c r="AK104" s="168"/>
      <c r="AL104" s="168"/>
      <c r="AM104" s="168"/>
      <c r="AN104" s="168"/>
      <c r="AO104" s="168"/>
      <c r="AP104" s="168"/>
      <c r="AQ104" s="168"/>
      <c r="AR104" s="168"/>
      <c r="AS104" s="168"/>
      <c r="AT104" s="168"/>
      <c r="AU104" s="168"/>
      <c r="AV104" s="168"/>
      <c r="AW104" s="168"/>
      <c r="AX104" s="168"/>
      <c r="AY104" s="168"/>
      <c r="AZ104" s="168"/>
      <c r="BA104" s="168"/>
      <c r="BB104" s="168"/>
      <c r="BC104" s="168"/>
      <c r="BD104" s="168"/>
      <c r="BE104" s="168"/>
      <c r="BF104" s="168"/>
      <c r="BG104" s="168"/>
      <c r="BH104" s="168"/>
      <c r="BI104" s="168"/>
      <c r="BJ104" s="168"/>
      <c r="BK104" s="168"/>
      <c r="BL104" s="168"/>
      <c r="BM104" s="168"/>
      <c r="BN104" s="168"/>
      <c r="BO104" s="168"/>
    </row>
    <row r="105" spans="1:67" x14ac:dyDescent="0.35">
      <c r="A105" s="193" t="s">
        <v>64</v>
      </c>
      <c r="B105" s="215">
        <f t="shared" ref="B105" si="101">B104*$X$3</f>
        <v>3743398.9806572949</v>
      </c>
      <c r="C105" s="215">
        <f t="shared" ref="C105" si="102">C104*$X$3</f>
        <v>3743398.9806572949</v>
      </c>
      <c r="D105" s="215">
        <f t="shared" ref="D105" si="103">D104*$X$3</f>
        <v>3078598.7288290169</v>
      </c>
      <c r="E105" s="215">
        <f t="shared" ref="E105" si="104">E104*$X$3</f>
        <v>3078598.7288290169</v>
      </c>
      <c r="F105" s="215">
        <f t="shared" ref="F105" si="105">F104*$X$3</f>
        <v>3078598.7288290169</v>
      </c>
      <c r="G105" s="215">
        <f t="shared" ref="G105" si="106">G104*$X$3</f>
        <v>3078598.7288290169</v>
      </c>
      <c r="H105" s="215">
        <f t="shared" ref="H105" si="107">H104*$X$3</f>
        <v>3078598.7288290169</v>
      </c>
      <c r="I105" s="215">
        <f t="shared" ref="I105" si="108">I104*$X$3</f>
        <v>3078598.7288290169</v>
      </c>
      <c r="J105" s="215">
        <f t="shared" ref="J105" si="109">J104*$X$3</f>
        <v>3078598.7288290169</v>
      </c>
      <c r="K105" s="215">
        <f t="shared" ref="K105" si="110">K104*$X$3</f>
        <v>3078598.7288290169</v>
      </c>
      <c r="L105" s="215">
        <f t="shared" ref="L105" si="111">L104*$X$3</f>
        <v>32115587.791946728</v>
      </c>
      <c r="M105" s="159"/>
      <c r="BF105" s="168"/>
      <c r="BG105" s="168"/>
      <c r="BH105" s="168"/>
      <c r="BI105" s="168"/>
      <c r="BJ105" s="168"/>
      <c r="BK105" s="168"/>
      <c r="BL105" s="168"/>
      <c r="BM105" s="168"/>
      <c r="BN105" s="168"/>
      <c r="BO105" s="168"/>
    </row>
    <row r="106" spans="1:67" x14ac:dyDescent="0.35">
      <c r="A106" s="193"/>
      <c r="B106" s="194"/>
      <c r="C106" s="194"/>
      <c r="D106" s="214"/>
      <c r="E106" s="194"/>
      <c r="F106" s="194"/>
      <c r="G106" s="194"/>
      <c r="H106" s="194"/>
      <c r="I106" s="194"/>
      <c r="J106" s="194"/>
      <c r="K106" s="194"/>
      <c r="L106" s="194"/>
      <c r="M106" s="159"/>
      <c r="BF106" s="168"/>
      <c r="BG106" s="168"/>
      <c r="BH106" s="168"/>
      <c r="BI106" s="168"/>
      <c r="BJ106" s="168"/>
      <c r="BK106" s="168"/>
      <c r="BL106" s="168"/>
      <c r="BM106" s="168"/>
      <c r="BN106" s="168"/>
      <c r="BO106" s="168"/>
    </row>
    <row r="107" spans="1:67" ht="15" thickBot="1" x14ac:dyDescent="0.4">
      <c r="A107" s="197"/>
      <c r="B107" s="198"/>
      <c r="C107" s="198"/>
      <c r="D107" s="216"/>
      <c r="E107" s="198"/>
      <c r="F107" s="198"/>
      <c r="G107" s="198"/>
      <c r="H107" s="198"/>
      <c r="I107" s="198"/>
      <c r="J107" s="198"/>
      <c r="K107" s="198"/>
      <c r="L107" s="198"/>
      <c r="M107" s="159"/>
      <c r="BF107" s="168"/>
      <c r="BG107" s="168"/>
      <c r="BH107" s="168"/>
      <c r="BI107" s="168"/>
      <c r="BJ107" s="168"/>
      <c r="BK107" s="168"/>
      <c r="BL107" s="168"/>
      <c r="BM107" s="168"/>
      <c r="BN107" s="168"/>
      <c r="BO107" s="168"/>
    </row>
    <row r="108" spans="1:67" x14ac:dyDescent="0.35">
      <c r="A108" s="179"/>
      <c r="B108" s="179"/>
      <c r="C108" s="179"/>
      <c r="D108" s="212"/>
      <c r="E108" s="179"/>
      <c r="F108" s="179"/>
      <c r="G108" s="179"/>
      <c r="H108" s="179"/>
      <c r="I108" s="179"/>
      <c r="J108" s="179"/>
      <c r="K108" s="179"/>
      <c r="L108" s="179"/>
      <c r="M108" s="160"/>
      <c r="BF108" s="168"/>
      <c r="BG108" s="168"/>
      <c r="BH108" s="168"/>
      <c r="BI108" s="168"/>
      <c r="BJ108" s="168"/>
      <c r="BK108" s="168"/>
      <c r="BL108" s="168"/>
      <c r="BM108" s="168"/>
      <c r="BN108" s="168"/>
      <c r="BO108" s="168"/>
    </row>
    <row r="109" spans="1:67" x14ac:dyDescent="0.35">
      <c r="A109" s="179"/>
      <c r="B109" s="179"/>
      <c r="C109" s="179"/>
      <c r="D109" s="212"/>
      <c r="E109" s="179"/>
      <c r="F109" s="179"/>
      <c r="G109" s="179"/>
      <c r="H109" s="179"/>
      <c r="I109" s="179"/>
      <c r="J109" s="179"/>
      <c r="K109" s="179"/>
      <c r="L109" s="179"/>
      <c r="M109" s="159"/>
      <c r="BF109" s="168"/>
      <c r="BG109" s="168"/>
      <c r="BH109" s="168"/>
      <c r="BI109" s="168"/>
      <c r="BJ109" s="168"/>
      <c r="BK109" s="168"/>
      <c r="BL109" s="168"/>
      <c r="BM109" s="168"/>
      <c r="BN109" s="168"/>
      <c r="BO109" s="168"/>
    </row>
    <row r="110" spans="1:67" x14ac:dyDescent="0.35">
      <c r="A110" s="180" t="s">
        <v>0</v>
      </c>
      <c r="B110" s="182" t="s">
        <v>10</v>
      </c>
      <c r="C110" s="182" t="s">
        <v>11</v>
      </c>
      <c r="D110" s="209" t="s">
        <v>12</v>
      </c>
      <c r="E110" s="182" t="s">
        <v>13</v>
      </c>
      <c r="F110" s="182" t="s">
        <v>14</v>
      </c>
      <c r="G110" s="182" t="s">
        <v>15</v>
      </c>
      <c r="H110" s="182" t="s">
        <v>16</v>
      </c>
      <c r="I110" s="183" t="s">
        <v>17</v>
      </c>
      <c r="J110" s="184" t="s">
        <v>23</v>
      </c>
      <c r="K110" s="184" t="s">
        <v>24</v>
      </c>
      <c r="L110" s="185" t="s">
        <v>18</v>
      </c>
      <c r="M110" s="159"/>
      <c r="BF110" s="168"/>
      <c r="BG110" s="168"/>
      <c r="BH110" s="168"/>
      <c r="BI110" s="168"/>
      <c r="BJ110" s="168"/>
      <c r="BK110" s="168"/>
      <c r="BL110" s="168"/>
      <c r="BM110" s="168"/>
      <c r="BN110" s="168"/>
      <c r="BO110" s="168"/>
    </row>
    <row r="111" spans="1:67" x14ac:dyDescent="0.35">
      <c r="A111" s="154" t="s">
        <v>33</v>
      </c>
      <c r="B111" s="199">
        <v>466</v>
      </c>
      <c r="C111" s="199">
        <v>466</v>
      </c>
      <c r="D111" s="217">
        <v>466</v>
      </c>
      <c r="E111" s="199">
        <v>466</v>
      </c>
      <c r="F111" s="199">
        <v>466</v>
      </c>
      <c r="G111" s="199">
        <v>466</v>
      </c>
      <c r="H111" s="199">
        <v>466</v>
      </c>
      <c r="I111" s="199">
        <v>466</v>
      </c>
      <c r="J111" s="199">
        <v>466</v>
      </c>
      <c r="K111" s="199">
        <v>466</v>
      </c>
      <c r="L111" s="200">
        <f>SUM(B111:K111)</f>
        <v>4660</v>
      </c>
      <c r="M111" s="159"/>
      <c r="BF111" s="168"/>
      <c r="BG111" s="168"/>
      <c r="BH111" s="168"/>
      <c r="BI111" s="168"/>
      <c r="BJ111" s="168"/>
      <c r="BK111" s="168"/>
      <c r="BL111" s="168"/>
      <c r="BM111" s="168"/>
      <c r="BN111" s="168"/>
      <c r="BO111" s="168"/>
    </row>
    <row r="112" spans="1:67" s="158" customFormat="1" x14ac:dyDescent="0.35">
      <c r="A112" s="187" t="s">
        <v>20</v>
      </c>
      <c r="B112" s="201">
        <f>'housing proportion projections'!L41</f>
        <v>72.276236548524039</v>
      </c>
      <c r="C112" s="201">
        <f>'housing proportion projections'!M41</f>
        <v>72.276236548524039</v>
      </c>
      <c r="D112" s="201">
        <f>'housing proportion projections'!N41</f>
        <v>72.276236548524039</v>
      </c>
      <c r="E112" s="201">
        <f>'housing proportion projections'!O41</f>
        <v>72.276236548524039</v>
      </c>
      <c r="F112" s="201">
        <f>'housing proportion projections'!P41</f>
        <v>72.276236548524039</v>
      </c>
      <c r="G112" s="201">
        <f>'housing proportion projections'!Q41</f>
        <v>72.276236548524039</v>
      </c>
      <c r="H112" s="201">
        <f>'housing proportion projections'!R41</f>
        <v>72.276236548524039</v>
      </c>
      <c r="I112" s="201">
        <f>'housing proportion projections'!S41</f>
        <v>72.276236548524039</v>
      </c>
      <c r="J112" s="201">
        <f>'housing proportion projections'!T41</f>
        <v>72.276236548524039</v>
      </c>
      <c r="K112" s="201">
        <f>'housing proportion projections'!U41</f>
        <v>72.276236548524039</v>
      </c>
      <c r="L112" s="200">
        <f t="shared" ref="L112:L115" si="112">SUM(B112:K112)</f>
        <v>722.76236548524037</v>
      </c>
      <c r="M112" s="167"/>
      <c r="N112" s="168"/>
      <c r="O112" s="147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51"/>
      <c r="AB112" s="168"/>
      <c r="AC112" s="168"/>
      <c r="AD112" s="168"/>
      <c r="AE112" s="151"/>
      <c r="AF112" s="168"/>
      <c r="AG112" s="168"/>
      <c r="AH112" s="168"/>
      <c r="AI112" s="168"/>
      <c r="AJ112" s="168"/>
      <c r="AK112" s="168"/>
      <c r="AL112" s="168"/>
      <c r="AM112" s="168"/>
      <c r="AN112" s="168"/>
      <c r="AO112" s="168"/>
      <c r="AP112" s="168"/>
      <c r="AQ112" s="168"/>
      <c r="AR112" s="168"/>
      <c r="AS112" s="168"/>
      <c r="AT112" s="168"/>
      <c r="AU112" s="168"/>
      <c r="AV112" s="168"/>
      <c r="AW112" s="168"/>
      <c r="AX112" s="168"/>
      <c r="AY112" s="168"/>
      <c r="AZ112" s="168"/>
      <c r="BA112" s="168"/>
      <c r="BB112" s="168"/>
      <c r="BC112" s="168"/>
      <c r="BD112" s="168"/>
      <c r="BE112" s="168"/>
      <c r="BF112" s="168"/>
      <c r="BG112" s="168"/>
      <c r="BH112" s="168"/>
      <c r="BI112" s="168"/>
      <c r="BJ112" s="168"/>
      <c r="BK112" s="168"/>
      <c r="BL112" s="168"/>
      <c r="BM112" s="168"/>
      <c r="BN112" s="168"/>
      <c r="BO112" s="168"/>
    </row>
    <row r="113" spans="1:67" ht="15" thickBot="1" x14ac:dyDescent="0.4">
      <c r="A113" s="187" t="s">
        <v>21</v>
      </c>
      <c r="B113" s="201">
        <f>'housing proportion projections'!L42</f>
        <v>139.53776285911738</v>
      </c>
      <c r="C113" s="201">
        <f>'housing proportion projections'!M42</f>
        <v>139.53776285911738</v>
      </c>
      <c r="D113" s="201">
        <f>'housing proportion projections'!N42</f>
        <v>139.53776285911738</v>
      </c>
      <c r="E113" s="201">
        <f>'housing proportion projections'!O42</f>
        <v>139.53776285911738</v>
      </c>
      <c r="F113" s="201">
        <f>'housing proportion projections'!P42</f>
        <v>139.53776285911738</v>
      </c>
      <c r="G113" s="201">
        <f>'housing proportion projections'!Q42</f>
        <v>139.53776285911738</v>
      </c>
      <c r="H113" s="201">
        <f>'housing proportion projections'!R42</f>
        <v>139.53776285911738</v>
      </c>
      <c r="I113" s="201">
        <f>'housing proportion projections'!S42</f>
        <v>139.53776285911738</v>
      </c>
      <c r="J113" s="201">
        <f>'housing proportion projections'!T42</f>
        <v>139.53776285911738</v>
      </c>
      <c r="K113" s="201">
        <f>'housing proportion projections'!U42</f>
        <v>139.53776285911738</v>
      </c>
      <c r="L113" s="200">
        <f t="shared" si="112"/>
        <v>1395.3776285911736</v>
      </c>
      <c r="M113" s="159"/>
      <c r="BF113" s="168"/>
      <c r="BG113" s="168"/>
      <c r="BH113" s="168"/>
      <c r="BI113" s="168"/>
      <c r="BJ113" s="168"/>
      <c r="BK113" s="168"/>
      <c r="BL113" s="168"/>
      <c r="BM113" s="168"/>
      <c r="BN113" s="168"/>
      <c r="BO113" s="168"/>
    </row>
    <row r="114" spans="1:67" s="156" customFormat="1" x14ac:dyDescent="0.35">
      <c r="A114" s="187" t="s">
        <v>26</v>
      </c>
      <c r="B114" s="201">
        <f>'housing proportion projections'!L43</f>
        <v>182.23180965544475</v>
      </c>
      <c r="C114" s="201">
        <f>'housing proportion projections'!M43</f>
        <v>182.23180965544475</v>
      </c>
      <c r="D114" s="201">
        <f>'housing proportion projections'!N43</f>
        <v>182.23180965544475</v>
      </c>
      <c r="E114" s="201">
        <f>'housing proportion projections'!O43</f>
        <v>182.23180965544475</v>
      </c>
      <c r="F114" s="201">
        <f>'housing proportion projections'!P43</f>
        <v>182.23180965544475</v>
      </c>
      <c r="G114" s="201">
        <f>'housing proportion projections'!Q43</f>
        <v>182.23180965544475</v>
      </c>
      <c r="H114" s="201">
        <f>'housing proportion projections'!R43</f>
        <v>182.23180965544475</v>
      </c>
      <c r="I114" s="201">
        <f>'housing proportion projections'!S43</f>
        <v>182.23180965544475</v>
      </c>
      <c r="J114" s="201">
        <f>'housing proportion projections'!T43</f>
        <v>182.23180965544475</v>
      </c>
      <c r="K114" s="201">
        <f>'housing proportion projections'!U43</f>
        <v>182.23180965544475</v>
      </c>
      <c r="L114" s="200">
        <f t="shared" si="112"/>
        <v>1822.3180965544475</v>
      </c>
      <c r="M114" s="161"/>
      <c r="N114" s="168"/>
      <c r="O114" s="147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  <c r="AA114" s="151"/>
      <c r="AB114" s="168"/>
      <c r="AC114" s="168"/>
      <c r="AD114" s="168"/>
      <c r="AE114" s="151"/>
      <c r="AF114" s="168"/>
      <c r="AG114" s="168"/>
      <c r="AH114" s="168"/>
      <c r="AI114" s="168"/>
      <c r="AJ114" s="168"/>
      <c r="AK114" s="168"/>
      <c r="AL114" s="168"/>
      <c r="AM114" s="168"/>
      <c r="AN114" s="168"/>
      <c r="AO114" s="168"/>
      <c r="AP114" s="168"/>
      <c r="AQ114" s="168"/>
      <c r="AR114" s="168"/>
      <c r="AS114" s="168"/>
      <c r="AT114" s="168"/>
      <c r="AU114" s="168"/>
      <c r="AV114" s="168"/>
      <c r="AW114" s="168"/>
      <c r="AX114" s="168"/>
      <c r="AY114" s="168"/>
      <c r="AZ114" s="168"/>
      <c r="BA114" s="168"/>
      <c r="BB114" s="168"/>
      <c r="BC114" s="168"/>
      <c r="BD114" s="168"/>
      <c r="BE114" s="168"/>
      <c r="BF114" s="168"/>
      <c r="BG114" s="168"/>
      <c r="BH114" s="168"/>
      <c r="BI114" s="168"/>
      <c r="BJ114" s="168"/>
      <c r="BK114" s="168"/>
      <c r="BL114" s="168"/>
      <c r="BM114" s="168"/>
      <c r="BN114" s="168"/>
      <c r="BO114" s="168"/>
    </row>
    <row r="115" spans="1:67" s="155" customFormat="1" x14ac:dyDescent="0.35">
      <c r="A115" s="190" t="s">
        <v>22</v>
      </c>
      <c r="B115" s="201">
        <f>'housing proportion projections'!L44</f>
        <v>71.954190936913818</v>
      </c>
      <c r="C115" s="201">
        <f>'housing proportion projections'!M44</f>
        <v>71.954190936913818</v>
      </c>
      <c r="D115" s="201">
        <f>'housing proportion projections'!N44</f>
        <v>71.954190936913818</v>
      </c>
      <c r="E115" s="201">
        <f>'housing proportion projections'!O44</f>
        <v>71.954190936913818</v>
      </c>
      <c r="F115" s="201">
        <f>'housing proportion projections'!P44</f>
        <v>71.954190936913818</v>
      </c>
      <c r="G115" s="201">
        <f>'housing proportion projections'!Q44</f>
        <v>71.954190936913818</v>
      </c>
      <c r="H115" s="201">
        <f>'housing proportion projections'!R44</f>
        <v>71.954190936913818</v>
      </c>
      <c r="I115" s="201">
        <f>'housing proportion projections'!S44</f>
        <v>71.954190936913818</v>
      </c>
      <c r="J115" s="201">
        <f>'housing proportion projections'!T44</f>
        <v>71.954190936913818</v>
      </c>
      <c r="K115" s="201">
        <f>'housing proportion projections'!U44</f>
        <v>71.954190936913818</v>
      </c>
      <c r="L115" s="200">
        <f t="shared" si="112"/>
        <v>719.54190936913835</v>
      </c>
      <c r="M115" s="162"/>
      <c r="N115" s="168"/>
      <c r="O115" s="147"/>
      <c r="P115" s="168"/>
      <c r="Q115" s="168"/>
      <c r="R115" s="168"/>
      <c r="S115" s="168"/>
      <c r="T115" s="168"/>
      <c r="U115" s="168"/>
      <c r="V115" s="168"/>
      <c r="W115" s="168"/>
      <c r="X115" s="168"/>
      <c r="Y115" s="168"/>
      <c r="Z115" s="168"/>
      <c r="AA115" s="151"/>
      <c r="AB115" s="168"/>
      <c r="AC115" s="168"/>
      <c r="AD115" s="168"/>
      <c r="AE115" s="151"/>
      <c r="AF115" s="168"/>
      <c r="AG115" s="168"/>
      <c r="AH115" s="168"/>
      <c r="AI115" s="168"/>
      <c r="AJ115" s="168"/>
      <c r="AK115" s="168"/>
      <c r="AL115" s="168"/>
      <c r="AM115" s="168"/>
      <c r="AN115" s="168"/>
      <c r="AO115" s="168"/>
      <c r="AP115" s="168"/>
      <c r="AQ115" s="168"/>
      <c r="AR115" s="168"/>
      <c r="AS115" s="168"/>
      <c r="AT115" s="168"/>
      <c r="AU115" s="168"/>
      <c r="AV115" s="168"/>
      <c r="AW115" s="168"/>
      <c r="AX115" s="168"/>
      <c r="AY115" s="168"/>
      <c r="AZ115" s="168"/>
      <c r="BA115" s="168"/>
      <c r="BB115" s="168"/>
      <c r="BC115" s="168"/>
      <c r="BD115" s="168"/>
      <c r="BE115" s="168"/>
      <c r="BF115" s="168"/>
      <c r="BG115" s="168"/>
      <c r="BH115" s="168"/>
      <c r="BI115" s="168"/>
      <c r="BJ115" s="168"/>
      <c r="BK115" s="168"/>
      <c r="BL115" s="168"/>
      <c r="BM115" s="168"/>
      <c r="BN115" s="168"/>
      <c r="BO115" s="168"/>
    </row>
    <row r="116" spans="1:67" s="155" customFormat="1" ht="15" thickBot="1" x14ac:dyDescent="0.4">
      <c r="A116" s="179"/>
      <c r="B116" s="179"/>
      <c r="C116" s="179"/>
      <c r="D116" s="212"/>
      <c r="E116" s="179"/>
      <c r="F116" s="179"/>
      <c r="G116" s="179"/>
      <c r="H116" s="179"/>
      <c r="I116" s="179"/>
      <c r="J116" s="179"/>
      <c r="K116" s="179"/>
      <c r="L116" s="179"/>
      <c r="M116" s="163"/>
      <c r="N116" s="168"/>
      <c r="O116" s="147"/>
      <c r="P116" s="168"/>
      <c r="Q116" s="168"/>
      <c r="R116" s="168"/>
      <c r="S116" s="168"/>
      <c r="T116" s="168"/>
      <c r="U116" s="168"/>
      <c r="V116" s="168"/>
      <c r="W116" s="168"/>
      <c r="X116" s="168"/>
      <c r="Y116" s="168"/>
      <c r="Z116" s="168"/>
      <c r="AA116" s="151"/>
      <c r="AB116" s="168"/>
      <c r="AC116" s="168"/>
      <c r="AD116" s="168"/>
      <c r="AE116" s="151"/>
      <c r="AF116" s="168"/>
      <c r="AG116" s="168"/>
      <c r="AH116" s="168"/>
      <c r="AI116" s="168"/>
      <c r="AJ116" s="168"/>
      <c r="AK116" s="168"/>
      <c r="AL116" s="168"/>
      <c r="AM116" s="168"/>
      <c r="AN116" s="168"/>
      <c r="AO116" s="168"/>
      <c r="AP116" s="168"/>
      <c r="AQ116" s="168"/>
      <c r="AR116" s="168"/>
      <c r="AS116" s="168"/>
      <c r="AT116" s="168"/>
      <c r="AU116" s="168"/>
      <c r="AV116" s="168"/>
      <c r="AW116" s="168"/>
      <c r="AX116" s="168"/>
      <c r="AY116" s="168"/>
      <c r="AZ116" s="168"/>
      <c r="BA116" s="168"/>
      <c r="BB116" s="168"/>
      <c r="BC116" s="168"/>
      <c r="BD116" s="168"/>
      <c r="BE116" s="168"/>
      <c r="BF116" s="168"/>
      <c r="BG116" s="168"/>
      <c r="BH116" s="168"/>
      <c r="BI116" s="168"/>
      <c r="BJ116" s="168"/>
      <c r="BK116" s="168"/>
      <c r="BL116" s="168"/>
      <c r="BM116" s="168"/>
      <c r="BN116" s="168"/>
      <c r="BO116" s="168"/>
    </row>
    <row r="117" spans="1:67" s="155" customFormat="1" x14ac:dyDescent="0.35">
      <c r="A117" s="191" t="s">
        <v>134</v>
      </c>
      <c r="B117" s="192"/>
      <c r="C117" s="192"/>
      <c r="D117" s="213"/>
      <c r="E117" s="192"/>
      <c r="F117" s="192"/>
      <c r="G117" s="192"/>
      <c r="H117" s="192"/>
      <c r="I117" s="192"/>
      <c r="J117" s="192"/>
      <c r="K117" s="192"/>
      <c r="L117" s="192"/>
      <c r="M117" s="162"/>
      <c r="N117" s="168"/>
      <c r="O117" s="147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  <c r="AA117" s="151"/>
      <c r="AB117" s="168"/>
      <c r="AC117" s="168"/>
      <c r="AD117" s="168"/>
      <c r="AE117" s="151"/>
      <c r="AF117" s="168"/>
      <c r="AG117" s="168"/>
      <c r="AH117" s="168"/>
      <c r="AI117" s="168"/>
      <c r="AJ117" s="168"/>
      <c r="AK117" s="168"/>
      <c r="AL117" s="168"/>
      <c r="AM117" s="168"/>
      <c r="AN117" s="168"/>
      <c r="AO117" s="168"/>
      <c r="AP117" s="168"/>
      <c r="AQ117" s="168"/>
      <c r="AR117" s="168"/>
      <c r="AS117" s="168"/>
      <c r="AT117" s="168"/>
      <c r="AU117" s="168"/>
      <c r="AV117" s="168"/>
      <c r="AW117" s="168"/>
      <c r="AX117" s="168"/>
      <c r="AY117" s="168"/>
      <c r="AZ117" s="168"/>
      <c r="BA117" s="168"/>
      <c r="BB117" s="168"/>
      <c r="BC117" s="168"/>
      <c r="BD117" s="168"/>
      <c r="BE117" s="168"/>
      <c r="BF117" s="168"/>
      <c r="BG117" s="168"/>
      <c r="BH117" s="168"/>
      <c r="BI117" s="168"/>
      <c r="BJ117" s="168"/>
      <c r="BK117" s="168"/>
      <c r="BL117" s="168"/>
      <c r="BM117" s="168"/>
      <c r="BN117" s="168"/>
      <c r="BO117" s="168"/>
    </row>
    <row r="118" spans="1:67" s="157" customFormat="1" ht="15" thickBot="1" x14ac:dyDescent="0.4">
      <c r="A118" s="193" t="s">
        <v>112</v>
      </c>
      <c r="B118" s="214">
        <f>30*((B112*$AC$17)+(B113*$AC$18)+(B114*$AC$19)+(B115*$AC$20))+'scenario 3'!B118</f>
        <v>9646353.0656433925</v>
      </c>
      <c r="C118" s="214">
        <f>30*((C112*$AC$17)+(C113*$AC$18)+(C114*$AC$19)+(C115*$AC$20))+'scenario 3'!C118</f>
        <v>9646353.0656433925</v>
      </c>
      <c r="D118" s="214">
        <f>30*((D112*$AG$17)+(D113*$AG$18)+(D114*$AG$19)+(D115*$AG$20))+'scenario 3'!D118</f>
        <v>7936401.4124538247</v>
      </c>
      <c r="E118" s="214">
        <f>30*((E112*$AG$17)+(E113*$AG$18)+(E114*$AG$19)+(E115*$AG$20))+'scenario 3'!E118</f>
        <v>7936401.4124538247</v>
      </c>
      <c r="F118" s="214">
        <f>30*((F112*$AG$17)+(F113*$AG$18)+(F114*$AG$19)+(F115*$AG$20))+'scenario 3'!F118</f>
        <v>7936401.4124538247</v>
      </c>
      <c r="G118" s="214">
        <f>30*((G112*$AG$17)+(G113*$AG$18)+(G114*$AG$19)+(G115*$AG$20))+'scenario 3'!G118</f>
        <v>7936401.4124538247</v>
      </c>
      <c r="H118" s="214">
        <f>30*((H112*$AG$17)+(H113*$AG$18)+(H114*$AG$19)+(H115*$AG$20))+'scenario 3'!H118</f>
        <v>7936401.4124538247</v>
      </c>
      <c r="I118" s="214">
        <f>30*((I112*$AG$17)+(I113*$AG$18)+(I114*$AG$19)+(I115*$AG$20))+'scenario 3'!I118</f>
        <v>7936401.4124538247</v>
      </c>
      <c r="J118" s="214">
        <f>30*((J112*$AG$17)+(J113*$AG$18)+(J114*$AG$19)+(J115*$AG$20))+'scenario 3'!J118</f>
        <v>7936401.4124538247</v>
      </c>
      <c r="K118" s="214">
        <f>30*((K112*$AG$17)+(K113*$AG$18)+(K114*$AG$19)+(K115*$AG$20))+'scenario 3'!K118</f>
        <v>7936401.4124538247</v>
      </c>
      <c r="L118" s="214">
        <f>SUM(B118:K118)</f>
        <v>82783917.430917382</v>
      </c>
      <c r="M118" s="164"/>
      <c r="N118" s="168"/>
      <c r="O118" s="147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  <c r="AA118" s="151"/>
      <c r="AB118" s="168"/>
      <c r="AC118" s="168"/>
      <c r="AD118" s="168"/>
      <c r="AE118" s="151"/>
      <c r="AF118" s="168"/>
      <c r="AG118" s="168"/>
      <c r="AH118" s="168"/>
      <c r="AI118" s="168"/>
      <c r="AJ118" s="168"/>
      <c r="AK118" s="168"/>
      <c r="AL118" s="168"/>
      <c r="AM118" s="168"/>
      <c r="AN118" s="168"/>
      <c r="AO118" s="168"/>
      <c r="AP118" s="168"/>
      <c r="AQ118" s="168"/>
      <c r="AR118" s="168"/>
      <c r="AS118" s="168"/>
      <c r="AT118" s="168"/>
      <c r="AU118" s="168"/>
      <c r="AV118" s="168"/>
      <c r="AW118" s="168"/>
      <c r="AX118" s="168"/>
      <c r="AY118" s="168"/>
      <c r="AZ118" s="168"/>
      <c r="BA118" s="168"/>
      <c r="BB118" s="168"/>
      <c r="BC118" s="168"/>
      <c r="BD118" s="168"/>
      <c r="BE118" s="168"/>
      <c r="BF118" s="168"/>
      <c r="BG118" s="168"/>
      <c r="BH118" s="168"/>
      <c r="BI118" s="168"/>
      <c r="BJ118" s="168"/>
      <c r="BK118" s="168"/>
      <c r="BL118" s="168"/>
      <c r="BM118" s="168"/>
      <c r="BN118" s="168"/>
      <c r="BO118" s="168"/>
    </row>
    <row r="119" spans="1:67" s="157" customFormat="1" ht="15" thickBot="1" x14ac:dyDescent="0.4">
      <c r="A119" s="193" t="s">
        <v>113</v>
      </c>
      <c r="B119" s="214">
        <f t="shared" ref="B119" si="113">B118/1000</f>
        <v>9646.3530656433923</v>
      </c>
      <c r="C119" s="214">
        <f t="shared" ref="C119" si="114">C118/1000</f>
        <v>9646.3530656433923</v>
      </c>
      <c r="D119" s="214">
        <f t="shared" ref="D119" si="115">D118/1000</f>
        <v>7936.4014124538244</v>
      </c>
      <c r="E119" s="214">
        <f t="shared" ref="E119" si="116">E118/1000</f>
        <v>7936.4014124538244</v>
      </c>
      <c r="F119" s="214">
        <f t="shared" ref="F119" si="117">F118/1000</f>
        <v>7936.4014124538244</v>
      </c>
      <c r="G119" s="214">
        <f t="shared" ref="G119" si="118">G118/1000</f>
        <v>7936.4014124538244</v>
      </c>
      <c r="H119" s="214">
        <f t="shared" ref="H119" si="119">H118/1000</f>
        <v>7936.4014124538244</v>
      </c>
      <c r="I119" s="214">
        <f t="shared" ref="I119" si="120">I118/1000</f>
        <v>7936.4014124538244</v>
      </c>
      <c r="J119" s="214">
        <f t="shared" ref="J119" si="121">J118/1000</f>
        <v>7936.4014124538244</v>
      </c>
      <c r="K119" s="214">
        <f t="shared" ref="K119" si="122">K118/1000</f>
        <v>7936.4014124538244</v>
      </c>
      <c r="L119" s="214">
        <f t="shared" ref="L119" si="123">L118/1000</f>
        <v>82783.917430917383</v>
      </c>
      <c r="M119" s="164"/>
      <c r="N119" s="168"/>
      <c r="O119" s="147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A119" s="151"/>
      <c r="AB119" s="168"/>
      <c r="AC119" s="168"/>
      <c r="AD119" s="168"/>
      <c r="AE119" s="151"/>
      <c r="AF119" s="168"/>
      <c r="AG119" s="168"/>
      <c r="AH119" s="168"/>
      <c r="AI119" s="168"/>
      <c r="AJ119" s="168"/>
      <c r="AK119" s="168"/>
      <c r="AL119" s="168"/>
      <c r="AM119" s="168"/>
      <c r="AN119" s="168"/>
      <c r="AO119" s="168"/>
      <c r="AP119" s="168"/>
      <c r="AQ119" s="168"/>
      <c r="AR119" s="168"/>
      <c r="AS119" s="168"/>
      <c r="AT119" s="168"/>
      <c r="AU119" s="168"/>
      <c r="AV119" s="168"/>
      <c r="AW119" s="168"/>
      <c r="AX119" s="168"/>
      <c r="AY119" s="168"/>
      <c r="AZ119" s="168"/>
      <c r="BA119" s="168"/>
      <c r="BB119" s="168"/>
      <c r="BC119" s="168"/>
      <c r="BD119" s="168"/>
      <c r="BE119" s="168"/>
      <c r="BF119" s="168"/>
      <c r="BG119" s="168"/>
      <c r="BH119" s="168"/>
      <c r="BI119" s="168"/>
      <c r="BJ119" s="168"/>
      <c r="BK119" s="168"/>
      <c r="BL119" s="168"/>
      <c r="BM119" s="168"/>
      <c r="BN119" s="168"/>
      <c r="BO119" s="168"/>
    </row>
    <row r="120" spans="1:67" x14ac:dyDescent="0.35">
      <c r="A120" s="193" t="s">
        <v>64</v>
      </c>
      <c r="B120" s="215">
        <f t="shared" ref="B120" si="124">B119*$X$3</f>
        <v>2257246.6173605537</v>
      </c>
      <c r="C120" s="215">
        <f t="shared" ref="C120" si="125">C119*$X$3</f>
        <v>2257246.6173605537</v>
      </c>
      <c r="D120" s="215">
        <f t="shared" ref="D120" si="126">D119*$X$3</f>
        <v>1857117.930514195</v>
      </c>
      <c r="E120" s="215">
        <f t="shared" ref="E120" si="127">E119*$X$3</f>
        <v>1857117.930514195</v>
      </c>
      <c r="F120" s="215">
        <f t="shared" ref="F120" si="128">F119*$X$3</f>
        <v>1857117.930514195</v>
      </c>
      <c r="G120" s="215">
        <f t="shared" ref="G120" si="129">G119*$X$3</f>
        <v>1857117.930514195</v>
      </c>
      <c r="H120" s="215">
        <f t="shared" ref="H120" si="130">H119*$X$3</f>
        <v>1857117.930514195</v>
      </c>
      <c r="I120" s="215">
        <f t="shared" ref="I120" si="131">I119*$X$3</f>
        <v>1857117.930514195</v>
      </c>
      <c r="J120" s="215">
        <f t="shared" ref="J120" si="132">J119*$X$3</f>
        <v>1857117.930514195</v>
      </c>
      <c r="K120" s="215">
        <f t="shared" ref="K120" si="133">K119*$X$3</f>
        <v>1857117.930514195</v>
      </c>
      <c r="L120" s="215">
        <f t="shared" ref="L120" si="134">L119*$X$3</f>
        <v>19371436.678834669</v>
      </c>
      <c r="M120" s="159"/>
      <c r="BF120" s="168"/>
      <c r="BG120" s="168"/>
      <c r="BH120" s="168"/>
      <c r="BI120" s="168"/>
      <c r="BJ120" s="168"/>
      <c r="BK120" s="168"/>
      <c r="BL120" s="168"/>
      <c r="BM120" s="168"/>
      <c r="BN120" s="168"/>
      <c r="BO120" s="168"/>
    </row>
    <row r="121" spans="1:67" x14ac:dyDescent="0.35">
      <c r="A121" s="193"/>
      <c r="B121" s="194"/>
      <c r="C121" s="194"/>
      <c r="D121" s="214"/>
      <c r="E121" s="194"/>
      <c r="F121" s="194"/>
      <c r="G121" s="194"/>
      <c r="H121" s="194"/>
      <c r="I121" s="194"/>
      <c r="J121" s="194"/>
      <c r="K121" s="194"/>
      <c r="L121" s="194"/>
      <c r="M121" s="159"/>
      <c r="BF121" s="168"/>
      <c r="BG121" s="168"/>
      <c r="BH121" s="168"/>
      <c r="BI121" s="168"/>
      <c r="BJ121" s="168"/>
      <c r="BK121" s="168"/>
      <c r="BL121" s="168"/>
      <c r="BM121" s="168"/>
      <c r="BN121" s="168"/>
      <c r="BO121" s="168"/>
    </row>
    <row r="122" spans="1:67" ht="15" thickBot="1" x14ac:dyDescent="0.4">
      <c r="A122" s="197"/>
      <c r="B122" s="198"/>
      <c r="C122" s="198"/>
      <c r="D122" s="216"/>
      <c r="E122" s="198"/>
      <c r="F122" s="198"/>
      <c r="G122" s="198"/>
      <c r="H122" s="198"/>
      <c r="I122" s="198"/>
      <c r="J122" s="198"/>
      <c r="K122" s="198"/>
      <c r="L122" s="198"/>
      <c r="M122" s="159"/>
      <c r="BF122" s="168"/>
      <c r="BG122" s="168"/>
      <c r="BH122" s="168"/>
      <c r="BI122" s="168"/>
      <c r="BJ122" s="168"/>
      <c r="BK122" s="168"/>
      <c r="BL122" s="168"/>
      <c r="BM122" s="168"/>
      <c r="BN122" s="168"/>
      <c r="BO122" s="168"/>
    </row>
    <row r="123" spans="1:67" x14ac:dyDescent="0.35">
      <c r="A123" s="179"/>
      <c r="B123" s="179"/>
      <c r="C123" s="179"/>
      <c r="D123" s="212"/>
      <c r="E123" s="179"/>
      <c r="F123" s="179"/>
      <c r="G123" s="179"/>
      <c r="H123" s="179"/>
      <c r="I123" s="179"/>
      <c r="J123" s="179"/>
      <c r="K123" s="179"/>
      <c r="L123" s="179"/>
      <c r="M123" s="160"/>
      <c r="BF123" s="168"/>
      <c r="BG123" s="168"/>
      <c r="BH123" s="168"/>
      <c r="BI123" s="168"/>
      <c r="BJ123" s="168"/>
      <c r="BK123" s="168"/>
      <c r="BL123" s="168"/>
      <c r="BM123" s="168"/>
      <c r="BN123" s="168"/>
      <c r="BO123" s="168"/>
    </row>
    <row r="124" spans="1:67" x14ac:dyDescent="0.35">
      <c r="A124" s="179"/>
      <c r="B124" s="179"/>
      <c r="C124" s="179"/>
      <c r="D124" s="212"/>
      <c r="E124" s="179"/>
      <c r="F124" s="179"/>
      <c r="G124" s="179"/>
      <c r="H124" s="179"/>
      <c r="I124" s="179"/>
      <c r="J124" s="179"/>
      <c r="K124" s="179"/>
      <c r="L124" s="179"/>
      <c r="M124" s="159"/>
      <c r="BF124" s="168"/>
      <c r="BG124" s="168"/>
      <c r="BH124" s="168"/>
      <c r="BI124" s="168"/>
      <c r="BJ124" s="168"/>
      <c r="BK124" s="168"/>
      <c r="BL124" s="168"/>
      <c r="BM124" s="168"/>
      <c r="BN124" s="168"/>
      <c r="BO124" s="168"/>
    </row>
    <row r="125" spans="1:67" x14ac:dyDescent="0.35">
      <c r="A125" s="180" t="s">
        <v>0</v>
      </c>
      <c r="B125" s="182" t="s">
        <v>10</v>
      </c>
      <c r="C125" s="182" t="s">
        <v>11</v>
      </c>
      <c r="D125" s="209" t="s">
        <v>12</v>
      </c>
      <c r="E125" s="182" t="s">
        <v>13</v>
      </c>
      <c r="F125" s="182" t="s">
        <v>14</v>
      </c>
      <c r="G125" s="182" t="s">
        <v>15</v>
      </c>
      <c r="H125" s="182" t="s">
        <v>16</v>
      </c>
      <c r="I125" s="183" t="s">
        <v>17</v>
      </c>
      <c r="J125" s="184" t="s">
        <v>23</v>
      </c>
      <c r="K125" s="184" t="s">
        <v>24</v>
      </c>
      <c r="L125" s="185" t="s">
        <v>18</v>
      </c>
      <c r="M125" s="159"/>
      <c r="BF125" s="168"/>
      <c r="BG125" s="168"/>
      <c r="BH125" s="168"/>
      <c r="BI125" s="168"/>
      <c r="BJ125" s="168"/>
      <c r="BK125" s="168"/>
      <c r="BL125" s="168"/>
      <c r="BM125" s="168"/>
      <c r="BN125" s="168"/>
      <c r="BO125" s="168"/>
    </row>
    <row r="126" spans="1:67" x14ac:dyDescent="0.35">
      <c r="A126" s="154" t="s">
        <v>34</v>
      </c>
      <c r="B126" s="199">
        <v>1015</v>
      </c>
      <c r="C126" s="199">
        <v>1015</v>
      </c>
      <c r="D126" s="217">
        <v>1015</v>
      </c>
      <c r="E126" s="199">
        <v>1015</v>
      </c>
      <c r="F126" s="199">
        <v>1015</v>
      </c>
      <c r="G126" s="199">
        <v>1015</v>
      </c>
      <c r="H126" s="199">
        <v>1015</v>
      </c>
      <c r="I126" s="199">
        <v>1015</v>
      </c>
      <c r="J126" s="199">
        <v>1015</v>
      </c>
      <c r="K126" s="199">
        <v>1015</v>
      </c>
      <c r="L126" s="200">
        <f>SUM(B126:K126)</f>
        <v>10150</v>
      </c>
      <c r="M126" s="159"/>
      <c r="BF126" s="168"/>
      <c r="BG126" s="168"/>
      <c r="BH126" s="168"/>
      <c r="BI126" s="168"/>
      <c r="BJ126" s="168"/>
      <c r="BK126" s="168"/>
      <c r="BL126" s="168"/>
      <c r="BM126" s="168"/>
      <c r="BN126" s="168"/>
      <c r="BO126" s="168"/>
    </row>
    <row r="127" spans="1:67" s="158" customFormat="1" x14ac:dyDescent="0.35">
      <c r="A127" s="187" t="s">
        <v>20</v>
      </c>
      <c r="B127" s="201">
        <f>'housing proportion projections'!L46</f>
        <v>167.89397131106429</v>
      </c>
      <c r="C127" s="201">
        <f>'housing proportion projections'!M46</f>
        <v>167.89397131106429</v>
      </c>
      <c r="D127" s="201">
        <f>'housing proportion projections'!N46</f>
        <v>167.89397131106429</v>
      </c>
      <c r="E127" s="201">
        <f>'housing proportion projections'!O46</f>
        <v>167.89397131106429</v>
      </c>
      <c r="F127" s="201">
        <f>'housing proportion projections'!P46</f>
        <v>167.89397131106429</v>
      </c>
      <c r="G127" s="201">
        <f>'housing proportion projections'!Q46</f>
        <v>167.89397131106429</v>
      </c>
      <c r="H127" s="201">
        <f>'housing proportion projections'!R46</f>
        <v>167.89397131106429</v>
      </c>
      <c r="I127" s="201">
        <f>'housing proportion projections'!S46</f>
        <v>167.89397131106429</v>
      </c>
      <c r="J127" s="201">
        <f>'housing proportion projections'!T46</f>
        <v>167.89397131106429</v>
      </c>
      <c r="K127" s="201">
        <f>'housing proportion projections'!U46</f>
        <v>167.89397131106429</v>
      </c>
      <c r="L127" s="200">
        <f t="shared" ref="L127:L130" si="135">SUM(B127:K127)</f>
        <v>1678.9397131106427</v>
      </c>
      <c r="M127" s="167"/>
      <c r="N127" s="168"/>
      <c r="O127" s="147"/>
      <c r="P127" s="168"/>
      <c r="Q127" s="168"/>
      <c r="R127" s="168"/>
      <c r="S127" s="168"/>
      <c r="T127" s="168"/>
      <c r="U127" s="168"/>
      <c r="V127" s="168"/>
      <c r="W127" s="168"/>
      <c r="X127" s="168"/>
      <c r="Y127" s="168"/>
      <c r="Z127" s="168"/>
      <c r="AA127" s="151"/>
      <c r="AB127" s="168"/>
      <c r="AC127" s="168"/>
      <c r="AD127" s="168"/>
      <c r="AE127" s="151"/>
      <c r="AF127" s="168"/>
      <c r="AG127" s="168"/>
      <c r="AH127" s="168"/>
      <c r="AI127" s="168"/>
      <c r="AJ127" s="168"/>
      <c r="AK127" s="168"/>
      <c r="AL127" s="168"/>
      <c r="AM127" s="168"/>
      <c r="AN127" s="168"/>
      <c r="AO127" s="168"/>
      <c r="AP127" s="168"/>
      <c r="AQ127" s="168"/>
      <c r="AR127" s="168"/>
      <c r="AS127" s="168"/>
      <c r="AT127" s="168"/>
      <c r="AU127" s="168"/>
      <c r="AV127" s="168"/>
      <c r="AW127" s="168"/>
      <c r="AX127" s="168"/>
      <c r="AY127" s="168"/>
      <c r="AZ127" s="168"/>
      <c r="BA127" s="168"/>
      <c r="BB127" s="168"/>
      <c r="BC127" s="168"/>
      <c r="BD127" s="168"/>
      <c r="BE127" s="168"/>
      <c r="BF127" s="168"/>
      <c r="BG127" s="168"/>
      <c r="BH127" s="168"/>
      <c r="BI127" s="168"/>
      <c r="BJ127" s="168"/>
      <c r="BK127" s="168"/>
      <c r="BL127" s="168"/>
      <c r="BM127" s="168"/>
      <c r="BN127" s="168"/>
      <c r="BO127" s="168"/>
    </row>
    <row r="128" spans="1:67" ht="15" thickBot="1" x14ac:dyDescent="0.4">
      <c r="A128" s="187" t="s">
        <v>21</v>
      </c>
      <c r="B128" s="201">
        <f>'housing proportion projections'!L47</f>
        <v>405.32801685224194</v>
      </c>
      <c r="C128" s="201">
        <f>'housing proportion projections'!M47</f>
        <v>405.32801685224194</v>
      </c>
      <c r="D128" s="201">
        <f>'housing proportion projections'!N47</f>
        <v>405.32801685224194</v>
      </c>
      <c r="E128" s="201">
        <f>'housing proportion projections'!O47</f>
        <v>405.32801685224194</v>
      </c>
      <c r="F128" s="201">
        <f>'housing proportion projections'!P47</f>
        <v>405.32801685224194</v>
      </c>
      <c r="G128" s="201">
        <f>'housing proportion projections'!Q47</f>
        <v>405.32801685224194</v>
      </c>
      <c r="H128" s="201">
        <f>'housing proportion projections'!R47</f>
        <v>405.32801685224194</v>
      </c>
      <c r="I128" s="201">
        <f>'housing proportion projections'!S47</f>
        <v>405.32801685224194</v>
      </c>
      <c r="J128" s="201">
        <f>'housing proportion projections'!T47</f>
        <v>405.32801685224194</v>
      </c>
      <c r="K128" s="201">
        <f>'housing proportion projections'!U47</f>
        <v>405.32801685224194</v>
      </c>
      <c r="L128" s="200">
        <f t="shared" si="135"/>
        <v>4053.2801685224194</v>
      </c>
      <c r="M128" s="159"/>
      <c r="BF128" s="168"/>
      <c r="BG128" s="168"/>
      <c r="BH128" s="168"/>
      <c r="BI128" s="168"/>
      <c r="BJ128" s="168"/>
      <c r="BK128" s="168"/>
      <c r="BL128" s="168"/>
      <c r="BM128" s="168"/>
      <c r="BN128" s="168"/>
      <c r="BO128" s="168"/>
    </row>
    <row r="129" spans="1:67" s="156" customFormat="1" x14ac:dyDescent="0.35">
      <c r="A129" s="187" t="s">
        <v>26</v>
      </c>
      <c r="B129" s="201">
        <f>'housing proportion projections'!L48</f>
        <v>227.76156083859968</v>
      </c>
      <c r="C129" s="201">
        <f>'housing proportion projections'!M48</f>
        <v>227.76156083859968</v>
      </c>
      <c r="D129" s="201">
        <f>'housing proportion projections'!N48</f>
        <v>227.76156083859968</v>
      </c>
      <c r="E129" s="201">
        <f>'housing proportion projections'!O48</f>
        <v>227.76156083859968</v>
      </c>
      <c r="F129" s="201">
        <f>'housing proportion projections'!P48</f>
        <v>227.76156083859968</v>
      </c>
      <c r="G129" s="201">
        <f>'housing proportion projections'!Q48</f>
        <v>227.76156083859968</v>
      </c>
      <c r="H129" s="201">
        <f>'housing proportion projections'!R48</f>
        <v>227.76156083859968</v>
      </c>
      <c r="I129" s="201">
        <f>'housing proportion projections'!S48</f>
        <v>227.76156083859968</v>
      </c>
      <c r="J129" s="201">
        <f>'housing proportion projections'!T48</f>
        <v>227.76156083859968</v>
      </c>
      <c r="K129" s="201">
        <f>'housing proportion projections'!U48</f>
        <v>227.76156083859968</v>
      </c>
      <c r="L129" s="200">
        <f t="shared" si="135"/>
        <v>2277.6156083859969</v>
      </c>
      <c r="M129" s="161"/>
      <c r="N129" s="168"/>
      <c r="O129" s="147"/>
      <c r="P129" s="168"/>
      <c r="Q129" s="168"/>
      <c r="R129" s="168"/>
      <c r="S129" s="168"/>
      <c r="T129" s="168"/>
      <c r="U129" s="168"/>
      <c r="V129" s="168"/>
      <c r="W129" s="168"/>
      <c r="X129" s="168"/>
      <c r="Y129" s="168"/>
      <c r="Z129" s="168"/>
      <c r="AA129" s="151"/>
      <c r="AB129" s="168"/>
      <c r="AC129" s="168"/>
      <c r="AD129" s="168"/>
      <c r="AE129" s="151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168"/>
      <c r="AQ129" s="168"/>
      <c r="AR129" s="168"/>
      <c r="AS129" s="168"/>
      <c r="AT129" s="168"/>
      <c r="AU129" s="168"/>
      <c r="AV129" s="168"/>
      <c r="AW129" s="168"/>
      <c r="AX129" s="168"/>
      <c r="AY129" s="168"/>
      <c r="AZ129" s="168"/>
      <c r="BA129" s="168"/>
      <c r="BB129" s="168"/>
      <c r="BC129" s="168"/>
      <c r="BD129" s="168"/>
      <c r="BE129" s="168"/>
      <c r="BF129" s="168"/>
      <c r="BG129" s="168"/>
      <c r="BH129" s="168"/>
      <c r="BI129" s="168"/>
      <c r="BJ129" s="168"/>
      <c r="BK129" s="168"/>
      <c r="BL129" s="168"/>
      <c r="BM129" s="168"/>
      <c r="BN129" s="168"/>
      <c r="BO129" s="168"/>
    </row>
    <row r="130" spans="1:67" s="155" customFormat="1" x14ac:dyDescent="0.35">
      <c r="A130" s="190" t="s">
        <v>22</v>
      </c>
      <c r="B130" s="201">
        <f>'housing proportion projections'!L49</f>
        <v>214.11826662654227</v>
      </c>
      <c r="C130" s="201">
        <f>'housing proportion projections'!M49</f>
        <v>214.11826662654227</v>
      </c>
      <c r="D130" s="201">
        <f>'housing proportion projections'!N49</f>
        <v>214.11826662654227</v>
      </c>
      <c r="E130" s="201">
        <f>'housing proportion projections'!O49</f>
        <v>214.11826662654227</v>
      </c>
      <c r="F130" s="201">
        <f>'housing proportion projections'!P49</f>
        <v>214.11826662654227</v>
      </c>
      <c r="G130" s="201">
        <f>'housing proportion projections'!Q49</f>
        <v>214.11826662654227</v>
      </c>
      <c r="H130" s="201">
        <f>'housing proportion projections'!R49</f>
        <v>214.11826662654227</v>
      </c>
      <c r="I130" s="201">
        <f>'housing proportion projections'!S49</f>
        <v>214.11826662654227</v>
      </c>
      <c r="J130" s="201">
        <f>'housing proportion projections'!T49</f>
        <v>214.11826662654227</v>
      </c>
      <c r="K130" s="201">
        <f>'housing proportion projections'!U49</f>
        <v>214.11826662654227</v>
      </c>
      <c r="L130" s="200">
        <f t="shared" si="135"/>
        <v>2141.1826662654225</v>
      </c>
      <c r="M130" s="162"/>
      <c r="N130" s="168"/>
      <c r="O130" s="147"/>
      <c r="P130" s="168"/>
      <c r="Q130" s="168"/>
      <c r="R130" s="168"/>
      <c r="S130" s="168"/>
      <c r="T130" s="168"/>
      <c r="U130" s="168"/>
      <c r="V130" s="168"/>
      <c r="W130" s="168"/>
      <c r="X130" s="168"/>
      <c r="Y130" s="168"/>
      <c r="Z130" s="168"/>
      <c r="AA130" s="151"/>
      <c r="AB130" s="168"/>
      <c r="AC130" s="168"/>
      <c r="AD130" s="168"/>
      <c r="AE130" s="151"/>
      <c r="AF130" s="168"/>
      <c r="AG130" s="168"/>
      <c r="AH130" s="168"/>
      <c r="AI130" s="168"/>
      <c r="AJ130" s="168"/>
      <c r="AK130" s="168"/>
      <c r="AL130" s="168"/>
      <c r="AM130" s="168"/>
      <c r="AN130" s="168"/>
      <c r="AO130" s="168"/>
      <c r="AP130" s="168"/>
      <c r="AQ130" s="168"/>
      <c r="AR130" s="168"/>
      <c r="AS130" s="168"/>
      <c r="AT130" s="168"/>
      <c r="AU130" s="168"/>
      <c r="AV130" s="168"/>
      <c r="AW130" s="168"/>
      <c r="AX130" s="168"/>
      <c r="AY130" s="168"/>
      <c r="AZ130" s="168"/>
      <c r="BA130" s="168"/>
      <c r="BB130" s="168"/>
      <c r="BC130" s="168"/>
      <c r="BD130" s="168"/>
      <c r="BE130" s="168"/>
      <c r="BF130" s="168"/>
      <c r="BG130" s="168"/>
      <c r="BH130" s="168"/>
      <c r="BI130" s="168"/>
      <c r="BJ130" s="168"/>
      <c r="BK130" s="168"/>
      <c r="BL130" s="168"/>
      <c r="BM130" s="168"/>
      <c r="BN130" s="168"/>
      <c r="BO130" s="168"/>
    </row>
    <row r="131" spans="1:67" s="155" customFormat="1" ht="15" thickBot="1" x14ac:dyDescent="0.4">
      <c r="A131" s="179"/>
      <c r="B131" s="179"/>
      <c r="C131" s="179"/>
      <c r="D131" s="212"/>
      <c r="E131" s="179"/>
      <c r="F131" s="179"/>
      <c r="G131" s="179"/>
      <c r="H131" s="179"/>
      <c r="I131" s="179"/>
      <c r="J131" s="179"/>
      <c r="K131" s="179"/>
      <c r="L131" s="179"/>
      <c r="M131" s="163"/>
      <c r="N131" s="168"/>
      <c r="O131" s="147"/>
      <c r="P131" s="168"/>
      <c r="Q131" s="168"/>
      <c r="R131" s="168"/>
      <c r="S131" s="168"/>
      <c r="T131" s="168"/>
      <c r="U131" s="168"/>
      <c r="V131" s="168"/>
      <c r="W131" s="168"/>
      <c r="X131" s="168"/>
      <c r="Y131" s="168"/>
      <c r="Z131" s="168"/>
      <c r="AA131" s="151"/>
      <c r="AB131" s="168"/>
      <c r="AC131" s="168"/>
      <c r="AD131" s="168"/>
      <c r="AE131" s="151"/>
      <c r="AF131" s="168"/>
      <c r="AG131" s="168"/>
      <c r="AH131" s="168"/>
      <c r="AI131" s="168"/>
      <c r="AJ131" s="168"/>
      <c r="AK131" s="168"/>
      <c r="AL131" s="168"/>
      <c r="AM131" s="168"/>
      <c r="AN131" s="168"/>
      <c r="AO131" s="168"/>
      <c r="AP131" s="168"/>
      <c r="AQ131" s="168"/>
      <c r="AR131" s="168"/>
      <c r="AS131" s="168"/>
      <c r="AT131" s="168"/>
      <c r="AU131" s="168"/>
      <c r="AV131" s="168"/>
      <c r="AW131" s="168"/>
      <c r="AX131" s="168"/>
      <c r="AY131" s="168"/>
      <c r="AZ131" s="168"/>
      <c r="BA131" s="168"/>
      <c r="BB131" s="168"/>
      <c r="BC131" s="168"/>
      <c r="BD131" s="168"/>
      <c r="BE131" s="168"/>
      <c r="BF131" s="168"/>
      <c r="BG131" s="168"/>
      <c r="BH131" s="168"/>
      <c r="BI131" s="168"/>
      <c r="BJ131" s="168"/>
      <c r="BK131" s="168"/>
      <c r="BL131" s="168"/>
      <c r="BM131" s="168"/>
      <c r="BN131" s="168"/>
      <c r="BO131" s="168"/>
    </row>
    <row r="132" spans="1:67" s="155" customFormat="1" x14ac:dyDescent="0.35">
      <c r="A132" s="191" t="s">
        <v>134</v>
      </c>
      <c r="B132" s="192"/>
      <c r="C132" s="192"/>
      <c r="D132" s="213"/>
      <c r="E132" s="192"/>
      <c r="F132" s="192"/>
      <c r="G132" s="192"/>
      <c r="H132" s="192"/>
      <c r="I132" s="192"/>
      <c r="J132" s="192"/>
      <c r="K132" s="192"/>
      <c r="L132" s="192"/>
      <c r="M132" s="162"/>
      <c r="N132" s="168"/>
      <c r="O132" s="147"/>
      <c r="P132" s="168"/>
      <c r="Q132" s="168"/>
      <c r="R132" s="168"/>
      <c r="S132" s="168"/>
      <c r="T132" s="168"/>
      <c r="U132" s="168"/>
      <c r="V132" s="168"/>
      <c r="W132" s="168"/>
      <c r="X132" s="168"/>
      <c r="Y132" s="168"/>
      <c r="Z132" s="168"/>
      <c r="AA132" s="151"/>
      <c r="AB132" s="168"/>
      <c r="AC132" s="168"/>
      <c r="AD132" s="168"/>
      <c r="AE132" s="151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68"/>
      <c r="AQ132" s="168"/>
      <c r="AR132" s="168"/>
      <c r="AS132" s="168"/>
      <c r="AT132" s="168"/>
      <c r="AU132" s="168"/>
      <c r="AV132" s="168"/>
      <c r="AW132" s="168"/>
      <c r="AX132" s="168"/>
      <c r="AY132" s="168"/>
      <c r="AZ132" s="168"/>
      <c r="BA132" s="168"/>
      <c r="BB132" s="168"/>
      <c r="BC132" s="168"/>
      <c r="BD132" s="168"/>
      <c r="BE132" s="168"/>
      <c r="BF132" s="168"/>
      <c r="BG132" s="168"/>
      <c r="BH132" s="168"/>
      <c r="BI132" s="168"/>
      <c r="BJ132" s="168"/>
      <c r="BK132" s="168"/>
      <c r="BL132" s="168"/>
      <c r="BM132" s="168"/>
      <c r="BN132" s="168"/>
      <c r="BO132" s="168"/>
    </row>
    <row r="133" spans="1:67" s="157" customFormat="1" ht="15" thickBot="1" x14ac:dyDescent="0.4">
      <c r="A133" s="193" t="s">
        <v>112</v>
      </c>
      <c r="B133" s="214">
        <f>30*((B127*$AC$17)+(B128*$AC$18)+(B129*$AC$19)+(B130*$AC$20))+'scenario 3'!B133</f>
        <v>20609336.052229285</v>
      </c>
      <c r="C133" s="214">
        <f>30*((C127*$AC$17)+(C128*$AC$18)+(C129*$AC$19)+(C130*$AC$20))+'scenario 3'!C133</f>
        <v>20609336.052229285</v>
      </c>
      <c r="D133" s="214">
        <f>30*((D127*$AG$17)+(D128*$AG$18)+(D129*$AG$19)+(D130*$AG$20))+'scenario 3'!D133</f>
        <v>16927590.702773523</v>
      </c>
      <c r="E133" s="214">
        <f>30*((E127*$AG$17)+(E128*$AG$18)+(E129*$AG$19)+(E130*$AG$20))+'scenario 3'!E133</f>
        <v>16927590.702773523</v>
      </c>
      <c r="F133" s="214">
        <f>30*((F127*$AG$17)+(F128*$AG$18)+(F129*$AG$19)+(F130*$AG$20))+'scenario 3'!F133</f>
        <v>16927590.702773523</v>
      </c>
      <c r="G133" s="214">
        <f>30*((G127*$AG$17)+(G128*$AG$18)+(G129*$AG$19)+(G130*$AG$20))+'scenario 3'!G133</f>
        <v>16927590.702773523</v>
      </c>
      <c r="H133" s="214">
        <f>30*((H127*$AG$17)+(H128*$AG$18)+(H129*$AG$19)+(H130*$AG$20))+'scenario 3'!H133</f>
        <v>16927590.702773523</v>
      </c>
      <c r="I133" s="214">
        <f>30*((I127*$AG$17)+(I128*$AG$18)+(I129*$AG$19)+(I130*$AG$20))+'scenario 3'!I133</f>
        <v>16927590.702773523</v>
      </c>
      <c r="J133" s="214">
        <f>30*((J127*$AG$17)+(J128*$AG$18)+(J129*$AG$19)+(J130*$AG$20))+'scenario 3'!J133</f>
        <v>16927590.702773523</v>
      </c>
      <c r="K133" s="214">
        <f>30*((K127*$AG$17)+(K128*$AG$18)+(K129*$AG$19)+(K130*$AG$20))+'scenario 3'!K133</f>
        <v>16927590.702773523</v>
      </c>
      <c r="L133" s="214">
        <f>SUM(B133:K133)</f>
        <v>176639397.72664675</v>
      </c>
      <c r="M133" s="164"/>
      <c r="N133" s="168"/>
      <c r="O133" s="147"/>
      <c r="P133" s="168"/>
      <c r="Q133" s="168"/>
      <c r="R133" s="168"/>
      <c r="S133" s="168"/>
      <c r="T133" s="168"/>
      <c r="U133" s="168"/>
      <c r="V133" s="168"/>
      <c r="W133" s="168"/>
      <c r="X133" s="168"/>
      <c r="Y133" s="168"/>
      <c r="Z133" s="168"/>
      <c r="AA133" s="151"/>
      <c r="AB133" s="168"/>
      <c r="AC133" s="168"/>
      <c r="AD133" s="168"/>
      <c r="AE133" s="151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68"/>
      <c r="AQ133" s="168"/>
      <c r="AR133" s="168"/>
      <c r="AS133" s="168"/>
      <c r="AT133" s="168"/>
      <c r="AU133" s="168"/>
      <c r="AV133" s="168"/>
      <c r="AW133" s="168"/>
      <c r="AX133" s="168"/>
      <c r="AY133" s="168"/>
      <c r="AZ133" s="168"/>
      <c r="BA133" s="168"/>
      <c r="BB133" s="168"/>
      <c r="BC133" s="168"/>
      <c r="BD133" s="168"/>
      <c r="BE133" s="168"/>
      <c r="BF133" s="168"/>
      <c r="BG133" s="168"/>
      <c r="BH133" s="168"/>
      <c r="BI133" s="168"/>
      <c r="BJ133" s="168"/>
      <c r="BK133" s="168"/>
      <c r="BL133" s="168"/>
      <c r="BM133" s="168"/>
      <c r="BN133" s="168"/>
      <c r="BO133" s="168"/>
    </row>
    <row r="134" spans="1:67" s="157" customFormat="1" ht="15" thickBot="1" x14ac:dyDescent="0.4">
      <c r="A134" s="193" t="s">
        <v>113</v>
      </c>
      <c r="B134" s="214">
        <f t="shared" ref="B134" si="136">B133/1000</f>
        <v>20609.336052229286</v>
      </c>
      <c r="C134" s="214">
        <f t="shared" ref="C134" si="137">C133/1000</f>
        <v>20609.336052229286</v>
      </c>
      <c r="D134" s="214">
        <f t="shared" ref="D134" si="138">D133/1000</f>
        <v>16927.590702773523</v>
      </c>
      <c r="E134" s="214">
        <f t="shared" ref="E134" si="139">E133/1000</f>
        <v>16927.590702773523</v>
      </c>
      <c r="F134" s="214">
        <f t="shared" ref="F134" si="140">F133/1000</f>
        <v>16927.590702773523</v>
      </c>
      <c r="G134" s="214">
        <f t="shared" ref="G134" si="141">G133/1000</f>
        <v>16927.590702773523</v>
      </c>
      <c r="H134" s="214">
        <f t="shared" ref="H134" si="142">H133/1000</f>
        <v>16927.590702773523</v>
      </c>
      <c r="I134" s="214">
        <f t="shared" ref="I134" si="143">I133/1000</f>
        <v>16927.590702773523</v>
      </c>
      <c r="J134" s="214">
        <f t="shared" ref="J134" si="144">J133/1000</f>
        <v>16927.590702773523</v>
      </c>
      <c r="K134" s="214">
        <f t="shared" ref="K134" si="145">K133/1000</f>
        <v>16927.590702773523</v>
      </c>
      <c r="L134" s="214">
        <f t="shared" ref="L134" si="146">L133/1000</f>
        <v>176639.39772664674</v>
      </c>
      <c r="M134" s="164"/>
      <c r="N134" s="168"/>
      <c r="O134" s="147"/>
      <c r="P134" s="168"/>
      <c r="Q134" s="168"/>
      <c r="R134" s="168"/>
      <c r="S134" s="168"/>
      <c r="T134" s="168"/>
      <c r="U134" s="168"/>
      <c r="V134" s="168"/>
      <c r="W134" s="168"/>
      <c r="X134" s="168"/>
      <c r="Y134" s="168"/>
      <c r="Z134" s="168"/>
      <c r="AA134" s="151"/>
      <c r="AB134" s="168"/>
      <c r="AC134" s="168"/>
      <c r="AD134" s="168"/>
      <c r="AE134" s="151"/>
      <c r="AF134" s="168"/>
      <c r="AG134" s="168"/>
      <c r="AH134" s="168"/>
      <c r="AI134" s="168"/>
      <c r="AJ134" s="168"/>
      <c r="AK134" s="168"/>
      <c r="AL134" s="168"/>
      <c r="AM134" s="168"/>
      <c r="AN134" s="168"/>
      <c r="AO134" s="168"/>
      <c r="AP134" s="168"/>
      <c r="AQ134" s="168"/>
      <c r="AR134" s="168"/>
      <c r="AS134" s="168"/>
      <c r="AT134" s="168"/>
      <c r="AU134" s="168"/>
      <c r="AV134" s="168"/>
      <c r="AW134" s="168"/>
      <c r="AX134" s="168"/>
      <c r="AY134" s="168"/>
      <c r="AZ134" s="168"/>
      <c r="BA134" s="168"/>
      <c r="BB134" s="168"/>
      <c r="BC134" s="168"/>
      <c r="BD134" s="168"/>
      <c r="BE134" s="168"/>
      <c r="BF134" s="168"/>
      <c r="BG134" s="168"/>
      <c r="BH134" s="168"/>
      <c r="BI134" s="168"/>
      <c r="BJ134" s="168"/>
      <c r="BK134" s="168"/>
      <c r="BL134" s="168"/>
      <c r="BM134" s="168"/>
      <c r="BN134" s="168"/>
      <c r="BO134" s="168"/>
    </row>
    <row r="135" spans="1:67" x14ac:dyDescent="0.35">
      <c r="A135" s="193" t="s">
        <v>64</v>
      </c>
      <c r="B135" s="215">
        <f t="shared" ref="B135" si="147">B134*$X$3</f>
        <v>4822584.6362216529</v>
      </c>
      <c r="C135" s="215">
        <f t="shared" ref="C135" si="148">C134*$X$3</f>
        <v>4822584.6362216529</v>
      </c>
      <c r="D135" s="215">
        <f t="shared" ref="D135" si="149">D134*$X$3</f>
        <v>3961056.2244490045</v>
      </c>
      <c r="E135" s="215">
        <f t="shared" ref="E135" si="150">E134*$X$3</f>
        <v>3961056.2244490045</v>
      </c>
      <c r="F135" s="215">
        <f t="shared" ref="F135" si="151">F134*$X$3</f>
        <v>3961056.2244490045</v>
      </c>
      <c r="G135" s="215">
        <f t="shared" ref="G135" si="152">G134*$X$3</f>
        <v>3961056.2244490045</v>
      </c>
      <c r="H135" s="215">
        <f t="shared" ref="H135" si="153">H134*$X$3</f>
        <v>3961056.2244490045</v>
      </c>
      <c r="I135" s="215">
        <f t="shared" ref="I135" si="154">I134*$X$3</f>
        <v>3961056.2244490045</v>
      </c>
      <c r="J135" s="215">
        <f t="shared" ref="J135" si="155">J134*$X$3</f>
        <v>3961056.2244490045</v>
      </c>
      <c r="K135" s="215">
        <f t="shared" ref="K135" si="156">K134*$X$3</f>
        <v>3961056.2244490045</v>
      </c>
      <c r="L135" s="215">
        <f t="shared" ref="L135" si="157">L134*$X$3</f>
        <v>41333619.068035334</v>
      </c>
      <c r="M135" s="159"/>
      <c r="BF135" s="168"/>
      <c r="BG135" s="168"/>
      <c r="BH135" s="168"/>
      <c r="BI135" s="168"/>
      <c r="BJ135" s="168"/>
      <c r="BK135" s="168"/>
      <c r="BL135" s="168"/>
      <c r="BM135" s="168"/>
      <c r="BN135" s="168"/>
      <c r="BO135" s="168"/>
    </row>
    <row r="136" spans="1:67" x14ac:dyDescent="0.35">
      <c r="A136" s="193"/>
      <c r="B136" s="194"/>
      <c r="C136" s="194"/>
      <c r="D136" s="214"/>
      <c r="E136" s="194"/>
      <c r="F136" s="194"/>
      <c r="G136" s="194"/>
      <c r="H136" s="194"/>
      <c r="I136" s="194"/>
      <c r="J136" s="194"/>
      <c r="K136" s="194"/>
      <c r="L136" s="194"/>
      <c r="M136" s="159"/>
      <c r="BF136" s="168"/>
      <c r="BG136" s="168"/>
      <c r="BH136" s="168"/>
      <c r="BI136" s="168"/>
      <c r="BJ136" s="168"/>
      <c r="BK136" s="168"/>
      <c r="BL136" s="168"/>
      <c r="BM136" s="168"/>
      <c r="BN136" s="168"/>
      <c r="BO136" s="168"/>
    </row>
    <row r="137" spans="1:67" ht="15" thickBot="1" x14ac:dyDescent="0.4">
      <c r="A137" s="197"/>
      <c r="B137" s="198"/>
      <c r="C137" s="198"/>
      <c r="D137" s="216"/>
      <c r="E137" s="198"/>
      <c r="F137" s="198"/>
      <c r="G137" s="198"/>
      <c r="H137" s="198"/>
      <c r="I137" s="198"/>
      <c r="J137" s="198"/>
      <c r="K137" s="198"/>
      <c r="L137" s="198"/>
      <c r="M137" s="159"/>
      <c r="BF137" s="168"/>
      <c r="BG137" s="168"/>
      <c r="BH137" s="168"/>
      <c r="BI137" s="168"/>
      <c r="BJ137" s="168"/>
      <c r="BK137" s="168"/>
      <c r="BL137" s="168"/>
      <c r="BM137" s="168"/>
      <c r="BN137" s="168"/>
      <c r="BO137" s="168"/>
    </row>
    <row r="138" spans="1:67" x14ac:dyDescent="0.35">
      <c r="A138" s="179"/>
      <c r="B138" s="179"/>
      <c r="C138" s="179"/>
      <c r="D138" s="212"/>
      <c r="E138" s="179"/>
      <c r="F138" s="179"/>
      <c r="G138" s="179"/>
      <c r="H138" s="179"/>
      <c r="I138" s="179"/>
      <c r="J138" s="179"/>
      <c r="K138" s="179"/>
      <c r="L138" s="179"/>
      <c r="M138" s="160"/>
      <c r="BF138" s="168"/>
      <c r="BG138" s="168"/>
      <c r="BH138" s="168"/>
      <c r="BI138" s="168"/>
      <c r="BJ138" s="168"/>
      <c r="BK138" s="168"/>
      <c r="BL138" s="168"/>
      <c r="BM138" s="168"/>
      <c r="BN138" s="168"/>
      <c r="BO138" s="168"/>
    </row>
    <row r="139" spans="1:67" x14ac:dyDescent="0.35">
      <c r="A139" s="179"/>
      <c r="B139" s="179"/>
      <c r="C139" s="179"/>
      <c r="D139" s="212"/>
      <c r="E139" s="179"/>
      <c r="F139" s="179"/>
      <c r="G139" s="179"/>
      <c r="H139" s="179"/>
      <c r="I139" s="179"/>
      <c r="J139" s="179"/>
      <c r="K139" s="179"/>
      <c r="L139" s="179"/>
      <c r="M139" s="159"/>
      <c r="BF139" s="168"/>
      <c r="BG139" s="168"/>
      <c r="BH139" s="168"/>
      <c r="BI139" s="168"/>
      <c r="BJ139" s="168"/>
      <c r="BK139" s="168"/>
      <c r="BL139" s="168"/>
      <c r="BM139" s="168"/>
      <c r="BN139" s="168"/>
      <c r="BO139" s="168"/>
    </row>
    <row r="140" spans="1:67" x14ac:dyDescent="0.35">
      <c r="A140" s="180" t="s">
        <v>0</v>
      </c>
      <c r="B140" s="182" t="s">
        <v>10</v>
      </c>
      <c r="C140" s="182" t="s">
        <v>11</v>
      </c>
      <c r="D140" s="209" t="s">
        <v>12</v>
      </c>
      <c r="E140" s="182" t="s">
        <v>13</v>
      </c>
      <c r="F140" s="182" t="s">
        <v>14</v>
      </c>
      <c r="G140" s="182" t="s">
        <v>15</v>
      </c>
      <c r="H140" s="182" t="s">
        <v>16</v>
      </c>
      <c r="I140" s="183" t="s">
        <v>17</v>
      </c>
      <c r="J140" s="184" t="s">
        <v>23</v>
      </c>
      <c r="K140" s="184" t="s">
        <v>24</v>
      </c>
      <c r="L140" s="185" t="s">
        <v>18</v>
      </c>
      <c r="M140" s="159"/>
      <c r="BF140" s="168"/>
      <c r="BG140" s="168"/>
      <c r="BH140" s="168"/>
      <c r="BI140" s="168"/>
      <c r="BJ140" s="168"/>
      <c r="BK140" s="168"/>
      <c r="BL140" s="168"/>
      <c r="BM140" s="168"/>
      <c r="BN140" s="168"/>
      <c r="BO140" s="168"/>
    </row>
    <row r="141" spans="1:67" x14ac:dyDescent="0.35">
      <c r="A141" s="154" t="s">
        <v>35</v>
      </c>
      <c r="B141" s="199">
        <v>1126</v>
      </c>
      <c r="C141" s="199">
        <v>1126</v>
      </c>
      <c r="D141" s="217">
        <v>1126</v>
      </c>
      <c r="E141" s="199">
        <v>1126</v>
      </c>
      <c r="F141" s="199">
        <v>1126</v>
      </c>
      <c r="G141" s="199">
        <v>1126</v>
      </c>
      <c r="H141" s="199">
        <v>1126</v>
      </c>
      <c r="I141" s="199">
        <v>1126</v>
      </c>
      <c r="J141" s="199">
        <v>1126</v>
      </c>
      <c r="K141" s="199">
        <v>1126</v>
      </c>
      <c r="L141" s="200">
        <f>SUM(B141:K141)</f>
        <v>11260</v>
      </c>
      <c r="M141" s="159"/>
      <c r="BF141" s="168"/>
      <c r="BG141" s="168"/>
      <c r="BH141" s="168"/>
      <c r="BI141" s="168"/>
      <c r="BJ141" s="168"/>
      <c r="BK141" s="168"/>
      <c r="BL141" s="168"/>
      <c r="BM141" s="168"/>
      <c r="BN141" s="168"/>
      <c r="BO141" s="168"/>
    </row>
    <row r="142" spans="1:67" s="158" customFormat="1" x14ac:dyDescent="0.35">
      <c r="A142" s="187" t="s">
        <v>20</v>
      </c>
      <c r="B142" s="201">
        <f>'housing proportion projections'!L51</f>
        <v>287.76509741385291</v>
      </c>
      <c r="C142" s="201">
        <f>'housing proportion projections'!M51</f>
        <v>287.76509741385291</v>
      </c>
      <c r="D142" s="201">
        <f>'housing proportion projections'!N51</f>
        <v>287.76509741385291</v>
      </c>
      <c r="E142" s="201">
        <f>'housing proportion projections'!O51</f>
        <v>287.76509741385291</v>
      </c>
      <c r="F142" s="201">
        <f>'housing proportion projections'!P51</f>
        <v>287.76509741385291</v>
      </c>
      <c r="G142" s="201">
        <f>'housing proportion projections'!Q51</f>
        <v>287.76509741385291</v>
      </c>
      <c r="H142" s="201">
        <f>'housing proportion projections'!R51</f>
        <v>287.76509741385291</v>
      </c>
      <c r="I142" s="201">
        <f>'housing proportion projections'!S51</f>
        <v>287.76509741385291</v>
      </c>
      <c r="J142" s="201">
        <f>'housing proportion projections'!T51</f>
        <v>287.76509741385291</v>
      </c>
      <c r="K142" s="201">
        <f>'housing proportion projections'!U51</f>
        <v>287.76509741385291</v>
      </c>
      <c r="L142" s="200">
        <f t="shared" ref="L142:L145" si="158">SUM(B142:K142)</f>
        <v>2877.6509741385285</v>
      </c>
      <c r="M142" s="167"/>
      <c r="N142" s="168"/>
      <c r="O142" s="147"/>
      <c r="P142" s="168"/>
      <c r="Q142" s="168"/>
      <c r="R142" s="168"/>
      <c r="S142" s="168"/>
      <c r="T142" s="168"/>
      <c r="U142" s="168"/>
      <c r="V142" s="168"/>
      <c r="W142" s="168"/>
      <c r="X142" s="168"/>
      <c r="Y142" s="168"/>
      <c r="Z142" s="168"/>
      <c r="AA142" s="151"/>
      <c r="AB142" s="168"/>
      <c r="AC142" s="168"/>
      <c r="AD142" s="168"/>
      <c r="AE142" s="151"/>
      <c r="AF142" s="168"/>
      <c r="AG142" s="168"/>
      <c r="AH142" s="168"/>
      <c r="AI142" s="168"/>
      <c r="AJ142" s="168"/>
      <c r="AK142" s="168"/>
      <c r="AL142" s="168"/>
      <c r="AM142" s="168"/>
      <c r="AN142" s="168"/>
      <c r="AO142" s="168"/>
      <c r="AP142" s="168"/>
      <c r="AQ142" s="168"/>
      <c r="AR142" s="168"/>
      <c r="AS142" s="168"/>
      <c r="AT142" s="168"/>
      <c r="AU142" s="168"/>
      <c r="AV142" s="168"/>
      <c r="AW142" s="168"/>
      <c r="AX142" s="168"/>
      <c r="AY142" s="168"/>
      <c r="AZ142" s="168"/>
      <c r="BA142" s="168"/>
      <c r="BB142" s="168"/>
      <c r="BC142" s="168"/>
      <c r="BD142" s="168"/>
      <c r="BE142" s="168"/>
      <c r="BF142" s="168"/>
      <c r="BG142" s="168"/>
      <c r="BH142" s="168"/>
      <c r="BI142" s="168"/>
      <c r="BJ142" s="168"/>
      <c r="BK142" s="168"/>
      <c r="BL142" s="168"/>
      <c r="BM142" s="168"/>
      <c r="BN142" s="168"/>
      <c r="BO142" s="168"/>
    </row>
    <row r="143" spans="1:67" ht="15" thickBot="1" x14ac:dyDescent="0.4">
      <c r="A143" s="187" t="s">
        <v>21</v>
      </c>
      <c r="B143" s="201">
        <f>'housing proportion projections'!L52</f>
        <v>403.93288497538651</v>
      </c>
      <c r="C143" s="201">
        <f>'housing proportion projections'!M52</f>
        <v>403.93288497538651</v>
      </c>
      <c r="D143" s="201">
        <f>'housing proportion projections'!N52</f>
        <v>403.93288497538651</v>
      </c>
      <c r="E143" s="201">
        <f>'housing proportion projections'!O52</f>
        <v>403.93288497538651</v>
      </c>
      <c r="F143" s="201">
        <f>'housing proportion projections'!P52</f>
        <v>403.93288497538651</v>
      </c>
      <c r="G143" s="201">
        <f>'housing proportion projections'!Q52</f>
        <v>403.93288497538651</v>
      </c>
      <c r="H143" s="201">
        <f>'housing proportion projections'!R52</f>
        <v>403.93288497538651</v>
      </c>
      <c r="I143" s="201">
        <f>'housing proportion projections'!S52</f>
        <v>403.93288497538651</v>
      </c>
      <c r="J143" s="201">
        <f>'housing proportion projections'!T52</f>
        <v>403.93288497538651</v>
      </c>
      <c r="K143" s="201">
        <f>'housing proportion projections'!U52</f>
        <v>403.93288497538651</v>
      </c>
      <c r="L143" s="200">
        <f t="shared" si="158"/>
        <v>4039.3288497538651</v>
      </c>
      <c r="M143" s="159"/>
      <c r="BF143" s="168"/>
      <c r="BG143" s="168"/>
      <c r="BH143" s="168"/>
      <c r="BI143" s="168"/>
      <c r="BJ143" s="168"/>
      <c r="BK143" s="168"/>
      <c r="BL143" s="168"/>
      <c r="BM143" s="168"/>
      <c r="BN143" s="168"/>
      <c r="BO143" s="168"/>
    </row>
    <row r="144" spans="1:67" s="156" customFormat="1" x14ac:dyDescent="0.35">
      <c r="A144" s="187" t="s">
        <v>26</v>
      </c>
      <c r="B144" s="201">
        <f>'housing proportion projections'!L53</f>
        <v>325.62892602093882</v>
      </c>
      <c r="C144" s="201">
        <f>'housing proportion projections'!M53</f>
        <v>325.62892602093882</v>
      </c>
      <c r="D144" s="201">
        <f>'housing proportion projections'!N53</f>
        <v>325.62892602093882</v>
      </c>
      <c r="E144" s="201">
        <f>'housing proportion projections'!O53</f>
        <v>325.62892602093882</v>
      </c>
      <c r="F144" s="201">
        <f>'housing proportion projections'!P53</f>
        <v>325.62892602093882</v>
      </c>
      <c r="G144" s="201">
        <f>'housing proportion projections'!Q53</f>
        <v>325.62892602093882</v>
      </c>
      <c r="H144" s="201">
        <f>'housing proportion projections'!R53</f>
        <v>325.62892602093882</v>
      </c>
      <c r="I144" s="201">
        <f>'housing proportion projections'!S53</f>
        <v>325.62892602093882</v>
      </c>
      <c r="J144" s="201">
        <f>'housing proportion projections'!T53</f>
        <v>325.62892602093882</v>
      </c>
      <c r="K144" s="201">
        <f>'housing proportion projections'!U53</f>
        <v>325.62892602093882</v>
      </c>
      <c r="L144" s="200">
        <f t="shared" si="158"/>
        <v>3256.2892602093875</v>
      </c>
      <c r="M144" s="161"/>
      <c r="N144" s="168"/>
      <c r="O144" s="147"/>
      <c r="P144" s="168"/>
      <c r="Q144" s="168"/>
      <c r="R144" s="168"/>
      <c r="S144" s="168"/>
      <c r="T144" s="168"/>
      <c r="U144" s="168"/>
      <c r="V144" s="168"/>
      <c r="W144" s="168"/>
      <c r="X144" s="168"/>
      <c r="Y144" s="168"/>
      <c r="Z144" s="168"/>
      <c r="AA144" s="151"/>
      <c r="AB144" s="168"/>
      <c r="AC144" s="168"/>
      <c r="AD144" s="168"/>
      <c r="AE144" s="151"/>
      <c r="AF144" s="168"/>
      <c r="AG144" s="168"/>
      <c r="AH144" s="168"/>
      <c r="AI144" s="168"/>
      <c r="AJ144" s="168"/>
      <c r="AK144" s="168"/>
      <c r="AL144" s="168"/>
      <c r="AM144" s="168"/>
      <c r="AN144" s="168"/>
      <c r="AO144" s="168"/>
      <c r="AP144" s="168"/>
      <c r="AQ144" s="168"/>
      <c r="AR144" s="168"/>
      <c r="AS144" s="168"/>
      <c r="AT144" s="168"/>
      <c r="AU144" s="168"/>
      <c r="AV144" s="168"/>
      <c r="AW144" s="168"/>
      <c r="AX144" s="168"/>
      <c r="AY144" s="168"/>
      <c r="AZ144" s="168"/>
      <c r="BA144" s="168"/>
      <c r="BB144" s="168"/>
      <c r="BC144" s="168"/>
      <c r="BD144" s="168"/>
      <c r="BE144" s="168"/>
      <c r="BF144" s="168"/>
      <c r="BG144" s="168"/>
      <c r="BH144" s="168"/>
      <c r="BI144" s="168"/>
      <c r="BJ144" s="168"/>
      <c r="BK144" s="168"/>
      <c r="BL144" s="168"/>
      <c r="BM144" s="168"/>
      <c r="BN144" s="168"/>
      <c r="BO144" s="168"/>
    </row>
    <row r="145" spans="1:67" s="155" customFormat="1" x14ac:dyDescent="0.35">
      <c r="A145" s="190" t="s">
        <v>22</v>
      </c>
      <c r="B145" s="201">
        <f>'housing proportion projections'!L54</f>
        <v>108.67309158982181</v>
      </c>
      <c r="C145" s="201">
        <f>'housing proportion projections'!M54</f>
        <v>108.67309158982181</v>
      </c>
      <c r="D145" s="201">
        <f>'housing proportion projections'!N54</f>
        <v>108.67309158982181</v>
      </c>
      <c r="E145" s="201">
        <f>'housing proportion projections'!O54</f>
        <v>108.67309158982181</v>
      </c>
      <c r="F145" s="201">
        <f>'housing proportion projections'!P54</f>
        <v>108.67309158982181</v>
      </c>
      <c r="G145" s="201">
        <f>'housing proportion projections'!Q54</f>
        <v>108.67309158982181</v>
      </c>
      <c r="H145" s="201">
        <f>'housing proportion projections'!R54</f>
        <v>108.67309158982181</v>
      </c>
      <c r="I145" s="201">
        <f>'housing proportion projections'!S54</f>
        <v>108.67309158982181</v>
      </c>
      <c r="J145" s="201">
        <f>'housing proportion projections'!T54</f>
        <v>108.67309158982181</v>
      </c>
      <c r="K145" s="201">
        <f>'housing proportion projections'!U54</f>
        <v>108.67309158982181</v>
      </c>
      <c r="L145" s="200">
        <f t="shared" si="158"/>
        <v>1086.7309158982177</v>
      </c>
      <c r="M145" s="162"/>
      <c r="N145" s="168"/>
      <c r="O145" s="147"/>
      <c r="P145" s="168"/>
      <c r="Q145" s="168"/>
      <c r="R145" s="168"/>
      <c r="S145" s="168"/>
      <c r="T145" s="168"/>
      <c r="U145" s="168"/>
      <c r="V145" s="168"/>
      <c r="W145" s="168"/>
      <c r="X145" s="168"/>
      <c r="Y145" s="168"/>
      <c r="Z145" s="168"/>
      <c r="AA145" s="151"/>
      <c r="AB145" s="168"/>
      <c r="AC145" s="168"/>
      <c r="AD145" s="168"/>
      <c r="AE145" s="151"/>
      <c r="AF145" s="168"/>
      <c r="AG145" s="168"/>
      <c r="AH145" s="168"/>
      <c r="AI145" s="168"/>
      <c r="AJ145" s="168"/>
      <c r="AK145" s="168"/>
      <c r="AL145" s="168"/>
      <c r="AM145" s="168"/>
      <c r="AN145" s="168"/>
      <c r="AO145" s="168"/>
      <c r="AP145" s="168"/>
      <c r="AQ145" s="168"/>
      <c r="AR145" s="168"/>
      <c r="AS145" s="168"/>
      <c r="AT145" s="168"/>
      <c r="AU145" s="168"/>
      <c r="AV145" s="168"/>
      <c r="AW145" s="168"/>
      <c r="AX145" s="168"/>
      <c r="AY145" s="168"/>
      <c r="AZ145" s="168"/>
      <c r="BA145" s="168"/>
      <c r="BB145" s="168"/>
      <c r="BC145" s="168"/>
      <c r="BD145" s="168"/>
      <c r="BE145" s="168"/>
      <c r="BF145" s="168"/>
      <c r="BG145" s="168"/>
      <c r="BH145" s="168"/>
      <c r="BI145" s="168"/>
      <c r="BJ145" s="168"/>
      <c r="BK145" s="168"/>
      <c r="BL145" s="168"/>
      <c r="BM145" s="168"/>
      <c r="BN145" s="168"/>
      <c r="BO145" s="168"/>
    </row>
    <row r="146" spans="1:67" s="155" customFormat="1" ht="15" thickBot="1" x14ac:dyDescent="0.4">
      <c r="A146" s="179"/>
      <c r="B146" s="179"/>
      <c r="C146" s="179"/>
      <c r="D146" s="212"/>
      <c r="E146" s="179"/>
      <c r="F146" s="179"/>
      <c r="G146" s="179"/>
      <c r="H146" s="179"/>
      <c r="I146" s="179"/>
      <c r="J146" s="179"/>
      <c r="K146" s="179"/>
      <c r="L146" s="179"/>
      <c r="M146" s="163"/>
      <c r="N146" s="168"/>
      <c r="O146" s="147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  <c r="AA146" s="151"/>
      <c r="AB146" s="168"/>
      <c r="AC146" s="168"/>
      <c r="AD146" s="168"/>
      <c r="AE146" s="151"/>
      <c r="AF146" s="168"/>
      <c r="AG146" s="168"/>
      <c r="AH146" s="168"/>
      <c r="AI146" s="168"/>
      <c r="AJ146" s="168"/>
      <c r="AK146" s="168"/>
      <c r="AL146" s="168"/>
      <c r="AM146" s="168"/>
      <c r="AN146" s="168"/>
      <c r="AO146" s="168"/>
      <c r="AP146" s="168"/>
      <c r="AQ146" s="168"/>
      <c r="AR146" s="168"/>
      <c r="AS146" s="168"/>
      <c r="AT146" s="168"/>
      <c r="AU146" s="168"/>
      <c r="AV146" s="168"/>
      <c r="AW146" s="168"/>
      <c r="AX146" s="168"/>
      <c r="AY146" s="168"/>
      <c r="AZ146" s="168"/>
      <c r="BA146" s="168"/>
      <c r="BB146" s="168"/>
      <c r="BC146" s="168"/>
      <c r="BD146" s="168"/>
      <c r="BE146" s="168"/>
      <c r="BF146" s="168"/>
      <c r="BG146" s="168"/>
      <c r="BH146" s="168"/>
      <c r="BI146" s="168"/>
      <c r="BJ146" s="168"/>
      <c r="BK146" s="168"/>
      <c r="BL146" s="168"/>
      <c r="BM146" s="168"/>
      <c r="BN146" s="168"/>
      <c r="BO146" s="168"/>
    </row>
    <row r="147" spans="1:67" s="155" customFormat="1" x14ac:dyDescent="0.35">
      <c r="A147" s="191" t="s">
        <v>134</v>
      </c>
      <c r="B147" s="192"/>
      <c r="C147" s="192"/>
      <c r="D147" s="213"/>
      <c r="E147" s="192"/>
      <c r="F147" s="192"/>
      <c r="G147" s="192"/>
      <c r="H147" s="192"/>
      <c r="I147" s="192"/>
      <c r="J147" s="192"/>
      <c r="K147" s="192"/>
      <c r="L147" s="192"/>
      <c r="M147" s="162"/>
      <c r="N147" s="168"/>
      <c r="O147" s="147"/>
      <c r="P147" s="168"/>
      <c r="Q147" s="168"/>
      <c r="R147" s="168"/>
      <c r="S147" s="168"/>
      <c r="T147" s="168"/>
      <c r="U147" s="168"/>
      <c r="V147" s="168"/>
      <c r="W147" s="168"/>
      <c r="X147" s="168"/>
      <c r="Y147" s="168"/>
      <c r="Z147" s="168"/>
      <c r="AA147" s="151"/>
      <c r="AB147" s="168"/>
      <c r="AC147" s="168"/>
      <c r="AD147" s="168"/>
      <c r="AE147" s="151"/>
      <c r="AF147" s="168"/>
      <c r="AG147" s="168"/>
      <c r="AH147" s="168"/>
      <c r="AI147" s="168"/>
      <c r="AJ147" s="168"/>
      <c r="AK147" s="168"/>
      <c r="AL147" s="168"/>
      <c r="AM147" s="168"/>
      <c r="AN147" s="168"/>
      <c r="AO147" s="168"/>
      <c r="AP147" s="168"/>
      <c r="AQ147" s="168"/>
      <c r="AR147" s="168"/>
      <c r="AS147" s="168"/>
      <c r="AT147" s="168"/>
      <c r="AU147" s="168"/>
      <c r="AV147" s="168"/>
      <c r="AW147" s="168"/>
      <c r="AX147" s="168"/>
      <c r="AY147" s="168"/>
      <c r="AZ147" s="168"/>
      <c r="BA147" s="168"/>
      <c r="BB147" s="168"/>
      <c r="BC147" s="168"/>
      <c r="BD147" s="168"/>
      <c r="BE147" s="168"/>
      <c r="BF147" s="168"/>
      <c r="BG147" s="168"/>
      <c r="BH147" s="168"/>
      <c r="BI147" s="168"/>
      <c r="BJ147" s="168"/>
      <c r="BK147" s="168"/>
      <c r="BL147" s="168"/>
      <c r="BM147" s="168"/>
      <c r="BN147" s="168"/>
      <c r="BO147" s="168"/>
    </row>
    <row r="148" spans="1:67" s="157" customFormat="1" ht="15" thickBot="1" x14ac:dyDescent="0.4">
      <c r="A148" s="193" t="s">
        <v>112</v>
      </c>
      <c r="B148" s="214">
        <f>30*((B142*$AC$17)+(B143*$AC$18)+(B144*$AC$19)+(B145*$AC$20))+'scenario 3'!B148</f>
        <v>24159925.419431277</v>
      </c>
      <c r="C148" s="214">
        <f>30*((C142*$AC$17)+(C143*$AC$18)+(C144*$AC$19)+(C145*$AC$20))+'scenario 3'!C148</f>
        <v>24159925.419431277</v>
      </c>
      <c r="D148" s="214">
        <f>30*((D142*$AG$17)+(D143*$AG$18)+(D144*$AG$19)+(D145*$AG$20))+'scenario 3'!D148</f>
        <v>19893310.787202369</v>
      </c>
      <c r="E148" s="214">
        <f>30*((E142*$AG$17)+(E143*$AG$18)+(E144*$AG$19)+(E145*$AG$20))+'scenario 3'!E148</f>
        <v>19893310.787202369</v>
      </c>
      <c r="F148" s="214">
        <f>30*((F142*$AG$17)+(F143*$AG$18)+(F144*$AG$19)+(F145*$AG$20))+'scenario 3'!F148</f>
        <v>19893310.787202369</v>
      </c>
      <c r="G148" s="214">
        <f>30*((G142*$AG$17)+(G143*$AG$18)+(G144*$AG$19)+(G145*$AG$20))+'scenario 3'!G148</f>
        <v>19893310.787202369</v>
      </c>
      <c r="H148" s="214">
        <f>30*((H142*$AG$17)+(H143*$AG$18)+(H144*$AG$19)+(H145*$AG$20))+'scenario 3'!H148</f>
        <v>19893310.787202369</v>
      </c>
      <c r="I148" s="214">
        <f>30*((I142*$AG$17)+(I143*$AG$18)+(I144*$AG$19)+(I145*$AG$20))+'scenario 3'!I148</f>
        <v>19893310.787202369</v>
      </c>
      <c r="J148" s="214">
        <f>30*((J142*$AG$17)+(J143*$AG$18)+(J144*$AG$19)+(J145*$AG$20))+'scenario 3'!J148</f>
        <v>19893310.787202369</v>
      </c>
      <c r="K148" s="214">
        <f>30*((K142*$AG$17)+(K143*$AG$18)+(K144*$AG$19)+(K145*$AG$20))+'scenario 3'!K148</f>
        <v>19893310.787202369</v>
      </c>
      <c r="L148" s="214">
        <f>SUM(B148:K148)</f>
        <v>207466337.13648149</v>
      </c>
      <c r="M148" s="164"/>
      <c r="N148" s="168"/>
      <c r="O148" s="147"/>
      <c r="P148" s="168"/>
      <c r="Q148" s="168"/>
      <c r="R148" s="168"/>
      <c r="S148" s="168"/>
      <c r="T148" s="168"/>
      <c r="U148" s="168"/>
      <c r="V148" s="168"/>
      <c r="W148" s="168"/>
      <c r="X148" s="168"/>
      <c r="Y148" s="168"/>
      <c r="Z148" s="168"/>
      <c r="AA148" s="151"/>
      <c r="AB148" s="168"/>
      <c r="AC148" s="168"/>
      <c r="AD148" s="168"/>
      <c r="AE148" s="151"/>
      <c r="AF148" s="168"/>
      <c r="AG148" s="168"/>
      <c r="AH148" s="168"/>
      <c r="AI148" s="168"/>
      <c r="AJ148" s="168"/>
      <c r="AK148" s="168"/>
      <c r="AL148" s="168"/>
      <c r="AM148" s="168"/>
      <c r="AN148" s="168"/>
      <c r="AO148" s="168"/>
      <c r="AP148" s="168"/>
      <c r="AQ148" s="168"/>
      <c r="AR148" s="168"/>
      <c r="AS148" s="168"/>
      <c r="AT148" s="168"/>
      <c r="AU148" s="168"/>
      <c r="AV148" s="168"/>
      <c r="AW148" s="168"/>
      <c r="AX148" s="168"/>
      <c r="AY148" s="168"/>
      <c r="AZ148" s="168"/>
      <c r="BA148" s="168"/>
      <c r="BB148" s="168"/>
      <c r="BC148" s="168"/>
      <c r="BD148" s="168"/>
      <c r="BE148" s="168"/>
      <c r="BF148" s="168"/>
      <c r="BG148" s="168"/>
      <c r="BH148" s="168"/>
      <c r="BI148" s="168"/>
      <c r="BJ148" s="168"/>
      <c r="BK148" s="168"/>
      <c r="BL148" s="168"/>
      <c r="BM148" s="168"/>
      <c r="BN148" s="168"/>
      <c r="BO148" s="168"/>
    </row>
    <row r="149" spans="1:67" s="157" customFormat="1" ht="15" thickBot="1" x14ac:dyDescent="0.4">
      <c r="A149" s="193" t="s">
        <v>113</v>
      </c>
      <c r="B149" s="214">
        <f>B148/1000</f>
        <v>24159.925419431278</v>
      </c>
      <c r="C149" s="214">
        <f t="shared" ref="C149" si="159">C148/1000</f>
        <v>24159.925419431278</v>
      </c>
      <c r="D149" s="214">
        <f t="shared" ref="D149" si="160">D148/1000</f>
        <v>19893.310787202368</v>
      </c>
      <c r="E149" s="214">
        <f t="shared" ref="E149" si="161">E148/1000</f>
        <v>19893.310787202368</v>
      </c>
      <c r="F149" s="214">
        <f t="shared" ref="F149" si="162">F148/1000</f>
        <v>19893.310787202368</v>
      </c>
      <c r="G149" s="214">
        <f t="shared" ref="G149" si="163">G148/1000</f>
        <v>19893.310787202368</v>
      </c>
      <c r="H149" s="214">
        <f t="shared" ref="H149" si="164">H148/1000</f>
        <v>19893.310787202368</v>
      </c>
      <c r="I149" s="214">
        <f t="shared" ref="I149" si="165">I148/1000</f>
        <v>19893.310787202368</v>
      </c>
      <c r="J149" s="214">
        <f t="shared" ref="J149" si="166">J148/1000</f>
        <v>19893.310787202368</v>
      </c>
      <c r="K149" s="214">
        <f t="shared" ref="K149" si="167">K148/1000</f>
        <v>19893.310787202368</v>
      </c>
      <c r="L149" s="214">
        <f t="shared" ref="L149" si="168">L148/1000</f>
        <v>207466.33713648148</v>
      </c>
      <c r="M149" s="164"/>
      <c r="N149" s="168"/>
      <c r="O149" s="147"/>
      <c r="P149" s="168"/>
      <c r="Q149" s="168"/>
      <c r="R149" s="168"/>
      <c r="S149" s="168"/>
      <c r="T149" s="168"/>
      <c r="U149" s="168"/>
      <c r="V149" s="168"/>
      <c r="W149" s="168"/>
      <c r="X149" s="168"/>
      <c r="Y149" s="168"/>
      <c r="Z149" s="168"/>
      <c r="AA149" s="151"/>
      <c r="AB149" s="168"/>
      <c r="AC149" s="168"/>
      <c r="AD149" s="168"/>
      <c r="AE149" s="151"/>
      <c r="AF149" s="168"/>
      <c r="AG149" s="168"/>
      <c r="AH149" s="168"/>
      <c r="AI149" s="168"/>
      <c r="AJ149" s="168"/>
      <c r="AK149" s="168"/>
      <c r="AL149" s="168"/>
      <c r="AM149" s="168"/>
      <c r="AN149" s="168"/>
      <c r="AO149" s="168"/>
      <c r="AP149" s="168"/>
      <c r="AQ149" s="168"/>
      <c r="AR149" s="168"/>
      <c r="AS149" s="168"/>
      <c r="AT149" s="168"/>
      <c r="AU149" s="168"/>
      <c r="AV149" s="168"/>
      <c r="AW149" s="168"/>
      <c r="AX149" s="168"/>
      <c r="AY149" s="168"/>
      <c r="AZ149" s="168"/>
      <c r="BA149" s="168"/>
      <c r="BB149" s="168"/>
      <c r="BC149" s="168"/>
      <c r="BD149" s="168"/>
      <c r="BE149" s="168"/>
      <c r="BF149" s="168"/>
      <c r="BG149" s="168"/>
      <c r="BH149" s="168"/>
      <c r="BI149" s="168"/>
      <c r="BJ149" s="168"/>
      <c r="BK149" s="168"/>
      <c r="BL149" s="168"/>
      <c r="BM149" s="168"/>
      <c r="BN149" s="168"/>
      <c r="BO149" s="168"/>
    </row>
    <row r="150" spans="1:67" x14ac:dyDescent="0.35">
      <c r="A150" s="193" t="s">
        <v>64</v>
      </c>
      <c r="B150" s="215">
        <f t="shared" ref="B150:L150" si="169">B149*$X$3</f>
        <v>5653422.5481469193</v>
      </c>
      <c r="C150" s="215">
        <f t="shared" si="169"/>
        <v>5653422.5481469193</v>
      </c>
      <c r="D150" s="215">
        <f t="shared" si="169"/>
        <v>4655034.7242053542</v>
      </c>
      <c r="E150" s="215">
        <f t="shared" si="169"/>
        <v>4655034.7242053542</v>
      </c>
      <c r="F150" s="215">
        <f t="shared" si="169"/>
        <v>4655034.7242053542</v>
      </c>
      <c r="G150" s="215">
        <f t="shared" si="169"/>
        <v>4655034.7242053542</v>
      </c>
      <c r="H150" s="215">
        <f t="shared" si="169"/>
        <v>4655034.7242053542</v>
      </c>
      <c r="I150" s="215">
        <f t="shared" si="169"/>
        <v>4655034.7242053542</v>
      </c>
      <c r="J150" s="215">
        <f t="shared" si="169"/>
        <v>4655034.7242053542</v>
      </c>
      <c r="K150" s="215">
        <f t="shared" si="169"/>
        <v>4655034.7242053542</v>
      </c>
      <c r="L150" s="215">
        <f t="shared" si="169"/>
        <v>48547122.889936663</v>
      </c>
      <c r="M150" s="159"/>
      <c r="BF150" s="168"/>
      <c r="BG150" s="168"/>
      <c r="BH150" s="168"/>
      <c r="BI150" s="168"/>
      <c r="BJ150" s="168"/>
      <c r="BK150" s="168"/>
      <c r="BL150" s="168"/>
      <c r="BM150" s="168"/>
      <c r="BN150" s="168"/>
      <c r="BO150" s="168"/>
    </row>
    <row r="151" spans="1:67" x14ac:dyDescent="0.35">
      <c r="A151" s="193"/>
      <c r="B151" s="194"/>
      <c r="C151" s="194"/>
      <c r="D151" s="214"/>
      <c r="E151" s="194"/>
      <c r="F151" s="194"/>
      <c r="G151" s="194"/>
      <c r="H151" s="194"/>
      <c r="I151" s="194"/>
      <c r="J151" s="194"/>
      <c r="K151" s="194"/>
      <c r="L151" s="194"/>
      <c r="M151" s="159"/>
      <c r="BF151" s="168"/>
      <c r="BG151" s="168"/>
      <c r="BH151" s="168"/>
      <c r="BI151" s="168"/>
      <c r="BJ151" s="168"/>
      <c r="BK151" s="168"/>
      <c r="BL151" s="168"/>
      <c r="BM151" s="168"/>
      <c r="BN151" s="168"/>
      <c r="BO151" s="168"/>
    </row>
    <row r="152" spans="1:67" ht="15" thickBot="1" x14ac:dyDescent="0.4">
      <c r="A152" s="197"/>
      <c r="B152" s="198"/>
      <c r="C152" s="198"/>
      <c r="D152" s="216"/>
      <c r="E152" s="198"/>
      <c r="F152" s="198"/>
      <c r="G152" s="198"/>
      <c r="H152" s="198"/>
      <c r="I152" s="198"/>
      <c r="J152" s="198"/>
      <c r="K152" s="198"/>
      <c r="L152" s="198"/>
      <c r="M152" s="159"/>
      <c r="BF152" s="168"/>
      <c r="BG152" s="168"/>
      <c r="BH152" s="168"/>
      <c r="BI152" s="168"/>
      <c r="BJ152" s="168"/>
      <c r="BK152" s="168"/>
      <c r="BL152" s="168"/>
      <c r="BM152" s="168"/>
      <c r="BN152" s="168"/>
      <c r="BO152" s="168"/>
    </row>
    <row r="153" spans="1:67" x14ac:dyDescent="0.35">
      <c r="A153" s="179"/>
      <c r="B153" s="179"/>
      <c r="C153" s="179"/>
      <c r="D153" s="212"/>
      <c r="E153" s="179"/>
      <c r="F153" s="179"/>
      <c r="G153" s="179"/>
      <c r="H153" s="179"/>
      <c r="I153" s="179"/>
      <c r="J153" s="179"/>
      <c r="K153" s="179"/>
      <c r="L153" s="179"/>
      <c r="M153" s="160"/>
      <c r="BF153" s="168"/>
      <c r="BG153" s="168"/>
      <c r="BH153" s="168"/>
      <c r="BI153" s="168"/>
      <c r="BJ153" s="168"/>
      <c r="BK153" s="168"/>
      <c r="BL153" s="168"/>
      <c r="BM153" s="168"/>
      <c r="BN153" s="168"/>
      <c r="BO153" s="168"/>
    </row>
    <row r="154" spans="1:67" x14ac:dyDescent="0.35">
      <c r="A154" s="179"/>
      <c r="B154" s="179"/>
      <c r="C154" s="179"/>
      <c r="D154" s="212"/>
      <c r="E154" s="179"/>
      <c r="F154" s="179"/>
      <c r="G154" s="179"/>
      <c r="H154" s="179"/>
      <c r="I154" s="179"/>
      <c r="J154" s="179"/>
      <c r="K154" s="179"/>
      <c r="L154" s="179"/>
      <c r="M154" s="159"/>
      <c r="BF154" s="168"/>
      <c r="BG154" s="168"/>
      <c r="BH154" s="168"/>
      <c r="BI154" s="168"/>
      <c r="BJ154" s="168"/>
      <c r="BK154" s="168"/>
      <c r="BL154" s="168"/>
      <c r="BM154" s="168"/>
      <c r="BN154" s="168"/>
      <c r="BO154" s="168"/>
    </row>
    <row r="155" spans="1:67" x14ac:dyDescent="0.35">
      <c r="A155" s="180" t="s">
        <v>0</v>
      </c>
      <c r="B155" s="182" t="s">
        <v>10</v>
      </c>
      <c r="C155" s="182" t="s">
        <v>11</v>
      </c>
      <c r="D155" s="209" t="s">
        <v>12</v>
      </c>
      <c r="E155" s="182" t="s">
        <v>13</v>
      </c>
      <c r="F155" s="182" t="s">
        <v>14</v>
      </c>
      <c r="G155" s="182" t="s">
        <v>15</v>
      </c>
      <c r="H155" s="182" t="s">
        <v>16</v>
      </c>
      <c r="I155" s="183" t="s">
        <v>17</v>
      </c>
      <c r="J155" s="184" t="s">
        <v>23</v>
      </c>
      <c r="K155" s="184" t="s">
        <v>24</v>
      </c>
      <c r="L155" s="185" t="s">
        <v>18</v>
      </c>
      <c r="M155" s="159"/>
      <c r="BF155" s="168"/>
      <c r="BG155" s="168"/>
      <c r="BH155" s="168"/>
      <c r="BI155" s="168"/>
      <c r="BJ155" s="168"/>
      <c r="BK155" s="168"/>
      <c r="BL155" s="168"/>
      <c r="BM155" s="168"/>
      <c r="BN155" s="168"/>
      <c r="BO155" s="168"/>
    </row>
    <row r="156" spans="1:67" x14ac:dyDescent="0.35">
      <c r="A156" s="154" t="s">
        <v>36</v>
      </c>
      <c r="B156" s="199">
        <v>10578</v>
      </c>
      <c r="C156" s="199">
        <v>10578</v>
      </c>
      <c r="D156" s="217">
        <v>10578</v>
      </c>
      <c r="E156" s="199">
        <v>10578</v>
      </c>
      <c r="F156" s="199">
        <v>10578</v>
      </c>
      <c r="G156" s="199">
        <v>10578</v>
      </c>
      <c r="H156" s="199">
        <v>10578</v>
      </c>
      <c r="I156" s="199">
        <v>10578</v>
      </c>
      <c r="J156" s="199">
        <v>10578</v>
      </c>
      <c r="K156" s="199">
        <v>10578</v>
      </c>
      <c r="L156" s="200">
        <f>SUM(B156:K156)</f>
        <v>105780</v>
      </c>
      <c r="M156" s="159"/>
      <c r="BF156" s="168"/>
      <c r="BG156" s="168"/>
      <c r="BH156" s="168"/>
      <c r="BI156" s="168"/>
      <c r="BJ156" s="168"/>
      <c r="BK156" s="168"/>
      <c r="BL156" s="168"/>
      <c r="BM156" s="168"/>
      <c r="BN156" s="168"/>
      <c r="BO156" s="168"/>
    </row>
    <row r="157" spans="1:67" s="158" customFormat="1" x14ac:dyDescent="0.35">
      <c r="A157" s="187" t="s">
        <v>20</v>
      </c>
      <c r="B157" s="201">
        <f>'housing proportion projections'!L56</f>
        <v>1750.36034465748</v>
      </c>
      <c r="C157" s="201">
        <f>'housing proportion projections'!M56</f>
        <v>1750.36034465748</v>
      </c>
      <c r="D157" s="201">
        <f>'housing proportion projections'!N56</f>
        <v>1750.36034465748</v>
      </c>
      <c r="E157" s="201">
        <f>'housing proportion projections'!O56</f>
        <v>1750.36034465748</v>
      </c>
      <c r="F157" s="201">
        <f>'housing proportion projections'!P56</f>
        <v>1750.36034465748</v>
      </c>
      <c r="G157" s="201">
        <f>'housing proportion projections'!Q56</f>
        <v>1750.36034465748</v>
      </c>
      <c r="H157" s="201">
        <f>'housing proportion projections'!R56</f>
        <v>1750.36034465748</v>
      </c>
      <c r="I157" s="201">
        <f>'housing proportion projections'!S56</f>
        <v>1750.36034465748</v>
      </c>
      <c r="J157" s="201">
        <f>'housing proportion projections'!T56</f>
        <v>1750.36034465748</v>
      </c>
      <c r="K157" s="201">
        <f>'housing proportion projections'!U56</f>
        <v>1750.36034465748</v>
      </c>
      <c r="L157" s="200">
        <f t="shared" ref="L157:L160" si="170">SUM(B157:K157)</f>
        <v>17503.603446574802</v>
      </c>
      <c r="M157" s="167"/>
      <c r="N157" s="168"/>
      <c r="O157" s="147"/>
      <c r="P157" s="168"/>
      <c r="Q157" s="168"/>
      <c r="R157" s="168"/>
      <c r="S157" s="168"/>
      <c r="T157" s="168"/>
      <c r="U157" s="168"/>
      <c r="V157" s="168"/>
      <c r="W157" s="168"/>
      <c r="X157" s="168"/>
      <c r="Y157" s="168"/>
      <c r="Z157" s="168"/>
      <c r="AA157" s="151"/>
      <c r="AB157" s="168"/>
      <c r="AC157" s="168"/>
      <c r="AD157" s="168"/>
      <c r="AE157" s="151"/>
      <c r="AF157" s="168"/>
      <c r="AG157" s="168"/>
      <c r="AH157" s="168"/>
      <c r="AI157" s="168"/>
      <c r="AJ157" s="168"/>
      <c r="AK157" s="168"/>
      <c r="AL157" s="168"/>
      <c r="AM157" s="168"/>
      <c r="AN157" s="168"/>
      <c r="AO157" s="168"/>
      <c r="AP157" s="168"/>
      <c r="AQ157" s="168"/>
      <c r="AR157" s="168"/>
      <c r="AS157" s="168"/>
      <c r="AT157" s="168"/>
      <c r="AU157" s="168"/>
      <c r="AV157" s="168"/>
      <c r="AW157" s="168"/>
      <c r="AX157" s="168"/>
      <c r="AY157" s="168"/>
      <c r="AZ157" s="168"/>
      <c r="BA157" s="168"/>
      <c r="BB157" s="168"/>
      <c r="BC157" s="168"/>
      <c r="BD157" s="168"/>
      <c r="BE157" s="168"/>
      <c r="BF157" s="168"/>
      <c r="BG157" s="168"/>
      <c r="BH157" s="168"/>
      <c r="BI157" s="168"/>
      <c r="BJ157" s="168"/>
      <c r="BK157" s="168"/>
      <c r="BL157" s="168"/>
      <c r="BM157" s="168"/>
      <c r="BN157" s="168"/>
      <c r="BO157" s="168"/>
    </row>
    <row r="158" spans="1:67" ht="15" thickBot="1" x14ac:dyDescent="0.4">
      <c r="A158" s="187" t="s">
        <v>21</v>
      </c>
      <c r="B158" s="201">
        <f>'housing proportion projections'!L57</f>
        <v>3180.9316111421713</v>
      </c>
      <c r="C158" s="201">
        <f>'housing proportion projections'!M57</f>
        <v>3180.9316111421713</v>
      </c>
      <c r="D158" s="201">
        <f>'housing proportion projections'!N57</f>
        <v>3180.9316111421713</v>
      </c>
      <c r="E158" s="201">
        <f>'housing proportion projections'!O57</f>
        <v>3180.9316111421713</v>
      </c>
      <c r="F158" s="201">
        <f>'housing proportion projections'!P57</f>
        <v>3180.9316111421713</v>
      </c>
      <c r="G158" s="201">
        <f>'housing proportion projections'!Q57</f>
        <v>3180.9316111421713</v>
      </c>
      <c r="H158" s="201">
        <f>'housing proportion projections'!R57</f>
        <v>3180.9316111421713</v>
      </c>
      <c r="I158" s="201">
        <f>'housing proportion projections'!S57</f>
        <v>3180.9316111421713</v>
      </c>
      <c r="J158" s="201">
        <f>'housing proportion projections'!T57</f>
        <v>3180.9316111421713</v>
      </c>
      <c r="K158" s="201">
        <f>'housing proportion projections'!U57</f>
        <v>3180.9316111421713</v>
      </c>
      <c r="L158" s="200">
        <f t="shared" si="170"/>
        <v>31809.316111421718</v>
      </c>
      <c r="M158" s="159"/>
      <c r="BF158" s="168"/>
      <c r="BG158" s="168"/>
      <c r="BH158" s="168"/>
      <c r="BI158" s="168"/>
      <c r="BJ158" s="168"/>
      <c r="BK158" s="168"/>
      <c r="BL158" s="168"/>
      <c r="BM158" s="168"/>
      <c r="BN158" s="168"/>
      <c r="BO158" s="168"/>
    </row>
    <row r="159" spans="1:67" s="156" customFormat="1" x14ac:dyDescent="0.35">
      <c r="A159" s="187" t="s">
        <v>26</v>
      </c>
      <c r="B159" s="201">
        <f>'housing proportion projections'!L58</f>
        <v>3486.0227414740025</v>
      </c>
      <c r="C159" s="201">
        <f>'housing proportion projections'!M58</f>
        <v>3486.0227414740025</v>
      </c>
      <c r="D159" s="201">
        <f>'housing proportion projections'!N58</f>
        <v>3486.0227414740025</v>
      </c>
      <c r="E159" s="201">
        <f>'housing proportion projections'!O58</f>
        <v>3486.0227414740025</v>
      </c>
      <c r="F159" s="201">
        <f>'housing proportion projections'!P58</f>
        <v>3486.0227414740025</v>
      </c>
      <c r="G159" s="201">
        <f>'housing proportion projections'!Q58</f>
        <v>3486.0227414740025</v>
      </c>
      <c r="H159" s="201">
        <f>'housing proportion projections'!R58</f>
        <v>3486.0227414740025</v>
      </c>
      <c r="I159" s="201">
        <f>'housing proportion projections'!S58</f>
        <v>3486.0227414740025</v>
      </c>
      <c r="J159" s="201">
        <f>'housing proportion projections'!T58</f>
        <v>3486.0227414740025</v>
      </c>
      <c r="K159" s="201">
        <f>'housing proportion projections'!U58</f>
        <v>3486.0227414740025</v>
      </c>
      <c r="L159" s="200">
        <f t="shared" si="170"/>
        <v>34860.227414740031</v>
      </c>
      <c r="M159" s="161"/>
      <c r="N159" s="168"/>
      <c r="O159" s="147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  <c r="AA159" s="151"/>
      <c r="AB159" s="168"/>
      <c r="AC159" s="168"/>
      <c r="AD159" s="168"/>
      <c r="AE159" s="151"/>
      <c r="AF159" s="168"/>
      <c r="AG159" s="168"/>
      <c r="AH159" s="168"/>
      <c r="AI159" s="168"/>
      <c r="AJ159" s="168"/>
      <c r="AK159" s="168"/>
      <c r="AL159" s="168"/>
      <c r="AM159" s="168"/>
      <c r="AN159" s="168"/>
      <c r="AO159" s="168"/>
      <c r="AP159" s="168"/>
      <c r="AQ159" s="168"/>
      <c r="AR159" s="168"/>
      <c r="AS159" s="168"/>
      <c r="AT159" s="168"/>
      <c r="AU159" s="168"/>
      <c r="AV159" s="168"/>
      <c r="AW159" s="168"/>
      <c r="AX159" s="168"/>
      <c r="AY159" s="168"/>
      <c r="AZ159" s="168"/>
      <c r="BA159" s="168"/>
      <c r="BB159" s="168"/>
      <c r="BC159" s="168"/>
      <c r="BD159" s="168"/>
      <c r="BE159" s="168"/>
      <c r="BF159" s="168"/>
      <c r="BG159" s="168"/>
      <c r="BH159" s="168"/>
      <c r="BI159" s="168"/>
      <c r="BJ159" s="168"/>
      <c r="BK159" s="168"/>
      <c r="BL159" s="168"/>
      <c r="BM159" s="168"/>
      <c r="BN159" s="168"/>
      <c r="BO159" s="168"/>
    </row>
    <row r="160" spans="1:67" s="155" customFormat="1" x14ac:dyDescent="0.35">
      <c r="A160" s="190" t="s">
        <v>22</v>
      </c>
      <c r="B160" s="201">
        <f>'housing proportion projections'!L59</f>
        <v>2160.7722728319136</v>
      </c>
      <c r="C160" s="201">
        <f>'housing proportion projections'!M59</f>
        <v>2160.7722728319136</v>
      </c>
      <c r="D160" s="201">
        <f>'housing proportion projections'!N59</f>
        <v>2160.7722728319136</v>
      </c>
      <c r="E160" s="201">
        <f>'housing proportion projections'!O59</f>
        <v>2160.7722728319136</v>
      </c>
      <c r="F160" s="201">
        <f>'housing proportion projections'!P59</f>
        <v>2160.7722728319136</v>
      </c>
      <c r="G160" s="201">
        <f>'housing proportion projections'!Q59</f>
        <v>2160.7722728319136</v>
      </c>
      <c r="H160" s="201">
        <f>'housing proportion projections'!R59</f>
        <v>2160.7722728319136</v>
      </c>
      <c r="I160" s="201">
        <f>'housing proportion projections'!S59</f>
        <v>2160.7722728319136</v>
      </c>
      <c r="J160" s="201">
        <f>'housing proportion projections'!T59</f>
        <v>2160.7722728319136</v>
      </c>
      <c r="K160" s="201">
        <f>'housing proportion projections'!U59</f>
        <v>2160.7722728319136</v>
      </c>
      <c r="L160" s="200">
        <f t="shared" si="170"/>
        <v>21607.722728319135</v>
      </c>
      <c r="M160" s="162"/>
      <c r="N160" s="168"/>
      <c r="O160" s="147"/>
      <c r="P160" s="168"/>
      <c r="Q160" s="168"/>
      <c r="R160" s="168"/>
      <c r="S160" s="168"/>
      <c r="T160" s="168"/>
      <c r="U160" s="168"/>
      <c r="V160" s="168"/>
      <c r="W160" s="168"/>
      <c r="X160" s="168"/>
      <c r="Y160" s="168"/>
      <c r="Z160" s="168"/>
      <c r="AA160" s="151"/>
      <c r="AB160" s="168"/>
      <c r="AC160" s="168"/>
      <c r="AD160" s="168"/>
      <c r="AE160" s="151"/>
      <c r="AF160" s="168"/>
      <c r="AG160" s="168"/>
      <c r="AH160" s="168"/>
      <c r="AI160" s="168"/>
      <c r="AJ160" s="168"/>
      <c r="AK160" s="168"/>
      <c r="AL160" s="168"/>
      <c r="AM160" s="168"/>
      <c r="AN160" s="168"/>
      <c r="AO160" s="168"/>
      <c r="AP160" s="168"/>
      <c r="AQ160" s="168"/>
      <c r="AR160" s="168"/>
      <c r="AS160" s="168"/>
      <c r="AT160" s="168"/>
      <c r="AU160" s="168"/>
      <c r="AV160" s="168"/>
      <c r="AW160" s="168"/>
      <c r="AX160" s="168"/>
      <c r="AY160" s="168"/>
      <c r="AZ160" s="168"/>
      <c r="BA160" s="168"/>
      <c r="BB160" s="168"/>
      <c r="BC160" s="168"/>
      <c r="BD160" s="168"/>
      <c r="BE160" s="168"/>
      <c r="BF160" s="168"/>
      <c r="BG160" s="168"/>
      <c r="BH160" s="168"/>
      <c r="BI160" s="168"/>
      <c r="BJ160" s="168"/>
      <c r="BK160" s="168"/>
      <c r="BL160" s="168"/>
      <c r="BM160" s="168"/>
      <c r="BN160" s="168"/>
      <c r="BO160" s="168"/>
    </row>
    <row r="161" spans="1:67" s="155" customFormat="1" ht="15" thickBot="1" x14ac:dyDescent="0.4">
      <c r="A161" s="179"/>
      <c r="B161" s="179"/>
      <c r="C161" s="179"/>
      <c r="D161" s="212"/>
      <c r="E161" s="179"/>
      <c r="F161" s="179"/>
      <c r="G161" s="179"/>
      <c r="H161" s="179"/>
      <c r="I161" s="179"/>
      <c r="J161" s="179"/>
      <c r="K161" s="179"/>
      <c r="L161" s="179"/>
      <c r="M161" s="163"/>
      <c r="N161" s="168"/>
      <c r="O161" s="147"/>
      <c r="P161" s="168"/>
      <c r="Q161" s="168"/>
      <c r="R161" s="168"/>
      <c r="S161" s="168"/>
      <c r="T161" s="168"/>
      <c r="U161" s="168"/>
      <c r="V161" s="168"/>
      <c r="W161" s="168"/>
      <c r="X161" s="168"/>
      <c r="Y161" s="168"/>
      <c r="Z161" s="168"/>
      <c r="AA161" s="151"/>
      <c r="AB161" s="168"/>
      <c r="AC161" s="168"/>
      <c r="AD161" s="168"/>
      <c r="AE161" s="151"/>
      <c r="AF161" s="168"/>
      <c r="AG161" s="168"/>
      <c r="AH161" s="168"/>
      <c r="AI161" s="168"/>
      <c r="AJ161" s="168"/>
      <c r="AK161" s="168"/>
      <c r="AL161" s="168"/>
      <c r="AM161" s="168"/>
      <c r="AN161" s="168"/>
      <c r="AO161" s="168"/>
      <c r="AP161" s="168"/>
      <c r="AQ161" s="168"/>
      <c r="AR161" s="168"/>
      <c r="AS161" s="168"/>
      <c r="AT161" s="168"/>
      <c r="AU161" s="168"/>
      <c r="AV161" s="168"/>
      <c r="AW161" s="168"/>
      <c r="AX161" s="168"/>
      <c r="AY161" s="168"/>
      <c r="AZ161" s="168"/>
      <c r="BA161" s="168"/>
      <c r="BB161" s="168"/>
      <c r="BC161" s="168"/>
      <c r="BD161" s="168"/>
      <c r="BE161" s="168"/>
      <c r="BF161" s="168"/>
      <c r="BG161" s="168"/>
      <c r="BH161" s="168"/>
      <c r="BI161" s="168"/>
      <c r="BJ161" s="168"/>
      <c r="BK161" s="168"/>
      <c r="BL161" s="168"/>
      <c r="BM161" s="168"/>
      <c r="BN161" s="168"/>
      <c r="BO161" s="168"/>
    </row>
    <row r="162" spans="1:67" s="155" customFormat="1" x14ac:dyDescent="0.35">
      <c r="A162" s="191" t="s">
        <v>134</v>
      </c>
      <c r="B162" s="192"/>
      <c r="C162" s="192"/>
      <c r="D162" s="213"/>
      <c r="E162" s="192"/>
      <c r="F162" s="192"/>
      <c r="G162" s="192"/>
      <c r="H162" s="192"/>
      <c r="I162" s="192"/>
      <c r="J162" s="192"/>
      <c r="K162" s="192"/>
      <c r="L162" s="192"/>
      <c r="M162" s="162"/>
      <c r="N162" s="168"/>
      <c r="O162" s="147"/>
      <c r="P162" s="168"/>
      <c r="Q162" s="168"/>
      <c r="R162" s="168"/>
      <c r="S162" s="168"/>
      <c r="T162" s="168"/>
      <c r="U162" s="168"/>
      <c r="V162" s="168"/>
      <c r="W162" s="168"/>
      <c r="X162" s="168"/>
      <c r="Y162" s="168"/>
      <c r="Z162" s="168"/>
      <c r="AA162" s="151"/>
      <c r="AB162" s="168"/>
      <c r="AC162" s="168"/>
      <c r="AD162" s="168"/>
      <c r="AE162" s="151"/>
      <c r="AF162" s="168"/>
      <c r="AG162" s="168"/>
      <c r="AH162" s="168"/>
      <c r="AI162" s="168"/>
      <c r="AJ162" s="168"/>
      <c r="AK162" s="168"/>
      <c r="AL162" s="168"/>
      <c r="AM162" s="168"/>
      <c r="AN162" s="168"/>
      <c r="AO162" s="168"/>
      <c r="AP162" s="168"/>
      <c r="AQ162" s="168"/>
      <c r="AR162" s="168"/>
      <c r="AS162" s="168"/>
      <c r="AT162" s="168"/>
      <c r="AU162" s="168"/>
      <c r="AV162" s="168"/>
      <c r="AW162" s="168"/>
      <c r="AX162" s="168"/>
      <c r="AY162" s="168"/>
      <c r="AZ162" s="168"/>
      <c r="BA162" s="168"/>
      <c r="BB162" s="168"/>
      <c r="BC162" s="168"/>
      <c r="BD162" s="168"/>
      <c r="BE162" s="168"/>
      <c r="BF162" s="168"/>
      <c r="BG162" s="168"/>
      <c r="BH162" s="168"/>
      <c r="BI162" s="168"/>
      <c r="BJ162" s="168"/>
      <c r="BK162" s="168"/>
      <c r="BL162" s="168"/>
      <c r="BM162" s="168"/>
      <c r="BN162" s="168"/>
      <c r="BO162" s="168"/>
    </row>
    <row r="163" spans="1:67" s="157" customFormat="1" ht="15" thickBot="1" x14ac:dyDescent="0.4">
      <c r="A163" s="193" t="s">
        <v>112</v>
      </c>
      <c r="B163" s="214">
        <f>30*((B157*$AC$17)+(B158*$AC$18)+(B159*$AC$19)+(B160*$AC$20))+'scenario 3'!B163</f>
        <v>215973380.83043647</v>
      </c>
      <c r="C163" s="214">
        <f>30*((C157*$AC$17)+(C158*$AC$18)+(C159*$AC$19)+(C160*$AC$20))+'scenario 3'!C163</f>
        <v>215973380.83043647</v>
      </c>
      <c r="D163" s="214">
        <f>30*((D157*$AG$17)+(D158*$AG$18)+(D159*$AG$19)+(D160*$AG$20))+'scenario 3'!D163</f>
        <v>177540017.36164606</v>
      </c>
      <c r="E163" s="214">
        <f>30*((E157*$AG$17)+(E158*$AG$18)+(E159*$AG$19)+(E160*$AG$20))+'scenario 3'!E163</f>
        <v>177540017.36164606</v>
      </c>
      <c r="F163" s="214">
        <f>30*((F157*$AG$17)+(F158*$AG$18)+(F159*$AG$19)+(F160*$AG$20))+'scenario 3'!F163</f>
        <v>177540017.36164606</v>
      </c>
      <c r="G163" s="214">
        <f>30*((G157*$AG$17)+(G158*$AG$18)+(G159*$AG$19)+(G160*$AG$20))+'scenario 3'!G163</f>
        <v>177540017.36164606</v>
      </c>
      <c r="H163" s="214">
        <f>30*((H157*$AG$17)+(H158*$AG$18)+(H159*$AG$19)+(H160*$AG$20))+'scenario 3'!H163</f>
        <v>177540017.36164606</v>
      </c>
      <c r="I163" s="214">
        <f>30*((I157*$AG$17)+(I158*$AG$18)+(I159*$AG$19)+(I160*$AG$20))+'scenario 3'!I163</f>
        <v>177540017.36164606</v>
      </c>
      <c r="J163" s="214">
        <f>30*((J157*$AG$17)+(J158*$AG$18)+(J159*$AG$19)+(J160*$AG$20))+'scenario 3'!J163</f>
        <v>177540017.36164606</v>
      </c>
      <c r="K163" s="214">
        <f>30*((K157*$AG$17)+(K158*$AG$18)+(K159*$AG$19)+(K160*$AG$20))+'scenario 3'!K163</f>
        <v>177540017.36164606</v>
      </c>
      <c r="L163" s="214">
        <f>SUM(B163:K163)</f>
        <v>1852266900.5540419</v>
      </c>
      <c r="M163" s="164"/>
      <c r="N163" s="168"/>
      <c r="O163" s="147"/>
      <c r="P163" s="168"/>
      <c r="Q163" s="168"/>
      <c r="R163" s="168"/>
      <c r="S163" s="168"/>
      <c r="T163" s="168"/>
      <c r="U163" s="168"/>
      <c r="V163" s="168"/>
      <c r="W163" s="168"/>
      <c r="X163" s="168"/>
      <c r="Y163" s="168"/>
      <c r="Z163" s="168"/>
      <c r="AA163" s="151"/>
      <c r="AB163" s="168"/>
      <c r="AC163" s="168"/>
      <c r="AD163" s="168"/>
      <c r="AE163" s="151"/>
      <c r="AF163" s="168"/>
      <c r="AG163" s="168"/>
      <c r="AH163" s="168"/>
      <c r="AI163" s="168"/>
      <c r="AJ163" s="168"/>
      <c r="AK163" s="168"/>
      <c r="AL163" s="168"/>
      <c r="AM163" s="168"/>
      <c r="AN163" s="168"/>
      <c r="AO163" s="168"/>
      <c r="AP163" s="168"/>
      <c r="AQ163" s="168"/>
      <c r="AR163" s="168"/>
      <c r="AS163" s="168"/>
      <c r="AT163" s="168"/>
      <c r="AU163" s="168"/>
      <c r="AV163" s="168"/>
      <c r="AW163" s="168"/>
      <c r="AX163" s="168"/>
      <c r="AY163" s="168"/>
      <c r="AZ163" s="168"/>
      <c r="BA163" s="168"/>
      <c r="BB163" s="168"/>
      <c r="BC163" s="168"/>
      <c r="BD163" s="168"/>
      <c r="BE163" s="168"/>
      <c r="BF163" s="168"/>
      <c r="BG163" s="168"/>
      <c r="BH163" s="168"/>
      <c r="BI163" s="168"/>
      <c r="BJ163" s="168"/>
      <c r="BK163" s="168"/>
      <c r="BL163" s="168"/>
      <c r="BM163" s="168"/>
      <c r="BN163" s="168"/>
      <c r="BO163" s="168"/>
    </row>
    <row r="164" spans="1:67" s="157" customFormat="1" ht="15" thickBot="1" x14ac:dyDescent="0.4">
      <c r="A164" s="193" t="s">
        <v>113</v>
      </c>
      <c r="B164" s="214">
        <f>B163/1000</f>
        <v>215973.38083043648</v>
      </c>
      <c r="C164" s="214">
        <f t="shared" ref="C164" si="171">C163/1000</f>
        <v>215973.38083043648</v>
      </c>
      <c r="D164" s="214">
        <f t="shared" ref="D164" si="172">D163/1000</f>
        <v>177540.01736164605</v>
      </c>
      <c r="E164" s="214">
        <f>E163/1000</f>
        <v>177540.01736164605</v>
      </c>
      <c r="F164" s="214">
        <f t="shared" ref="F164" si="173">F163/1000</f>
        <v>177540.01736164605</v>
      </c>
      <c r="G164" s="214">
        <f t="shared" ref="G164" si="174">G163/1000</f>
        <v>177540.01736164605</v>
      </c>
      <c r="H164" s="214">
        <f t="shared" ref="H164" si="175">H163/1000</f>
        <v>177540.01736164605</v>
      </c>
      <c r="I164" s="214">
        <f t="shared" ref="I164" si="176">I163/1000</f>
        <v>177540.01736164605</v>
      </c>
      <c r="J164" s="214">
        <f t="shared" ref="J164" si="177">J163/1000</f>
        <v>177540.01736164605</v>
      </c>
      <c r="K164" s="214">
        <f t="shared" ref="K164" si="178">K163/1000</f>
        <v>177540.01736164605</v>
      </c>
      <c r="L164" s="214">
        <f t="shared" ref="L164" si="179">L163/1000</f>
        <v>1852266.9005540418</v>
      </c>
      <c r="M164" s="164"/>
      <c r="N164" s="168"/>
      <c r="O164" s="147"/>
      <c r="P164" s="168"/>
      <c r="Q164" s="168"/>
      <c r="R164" s="168"/>
      <c r="S164" s="168"/>
      <c r="T164" s="168"/>
      <c r="U164" s="168"/>
      <c r="V164" s="168"/>
      <c r="W164" s="168"/>
      <c r="X164" s="168"/>
      <c r="Y164" s="168"/>
      <c r="Z164" s="168"/>
      <c r="AA164" s="151"/>
      <c r="AB164" s="168"/>
      <c r="AC164" s="168"/>
      <c r="AD164" s="168"/>
      <c r="AE164" s="151"/>
      <c r="AF164" s="168"/>
      <c r="AG164" s="168"/>
      <c r="AH164" s="168"/>
      <c r="AI164" s="168"/>
      <c r="AJ164" s="168"/>
      <c r="AK164" s="168"/>
      <c r="AL164" s="168"/>
      <c r="AM164" s="168"/>
      <c r="AN164" s="168"/>
      <c r="AO164" s="168"/>
      <c r="AP164" s="168"/>
      <c r="AQ164" s="168"/>
      <c r="AR164" s="168"/>
      <c r="AS164" s="168"/>
      <c r="AT164" s="168"/>
      <c r="AU164" s="168"/>
      <c r="AV164" s="168"/>
      <c r="AW164" s="168"/>
      <c r="AX164" s="168"/>
      <c r="AY164" s="168"/>
      <c r="AZ164" s="168"/>
      <c r="BA164" s="168"/>
      <c r="BB164" s="168"/>
      <c r="BC164" s="168"/>
      <c r="BD164" s="168"/>
      <c r="BE164" s="168"/>
      <c r="BF164" s="168"/>
      <c r="BG164" s="168"/>
      <c r="BH164" s="168"/>
      <c r="BI164" s="168"/>
      <c r="BJ164" s="168"/>
      <c r="BK164" s="168"/>
      <c r="BL164" s="168"/>
      <c r="BM164" s="168"/>
      <c r="BN164" s="168"/>
      <c r="BO164" s="168"/>
    </row>
    <row r="165" spans="1:67" x14ac:dyDescent="0.35">
      <c r="A165" s="193" t="s">
        <v>64</v>
      </c>
      <c r="B165" s="215">
        <f t="shared" ref="B165" si="180">B164*$X$3</f>
        <v>50537771.114322133</v>
      </c>
      <c r="C165" s="215">
        <f t="shared" ref="C165" si="181">C164*$X$3</f>
        <v>50537771.114322133</v>
      </c>
      <c r="D165" s="215">
        <f t="shared" ref="D165" si="182">D164*$X$3</f>
        <v>41544364.062625177</v>
      </c>
      <c r="E165" s="215">
        <f t="shared" ref="E165" si="183">E164*$X$3</f>
        <v>41544364.062625177</v>
      </c>
      <c r="F165" s="215">
        <f t="shared" ref="F165" si="184">F164*$X$3</f>
        <v>41544364.062625177</v>
      </c>
      <c r="G165" s="215">
        <f t="shared" ref="G165" si="185">G164*$X$3</f>
        <v>41544364.062625177</v>
      </c>
      <c r="H165" s="215">
        <f t="shared" ref="H165" si="186">H164*$X$3</f>
        <v>41544364.062625177</v>
      </c>
      <c r="I165" s="215">
        <f t="shared" ref="I165" si="187">I164*$X$3</f>
        <v>41544364.062625177</v>
      </c>
      <c r="J165" s="215">
        <f t="shared" ref="J165" si="188">J164*$X$3</f>
        <v>41544364.062625177</v>
      </c>
      <c r="K165" s="215">
        <f t="shared" ref="K165" si="189">K164*$X$3</f>
        <v>41544364.062625177</v>
      </c>
      <c r="L165" s="215">
        <f t="shared" ref="L165" si="190">L164*$X$3</f>
        <v>433430454.72964579</v>
      </c>
    </row>
    <row r="166" spans="1:67" x14ac:dyDescent="0.35">
      <c r="A166" s="272"/>
      <c r="B166" s="257"/>
      <c r="C166" s="257"/>
      <c r="D166" s="255"/>
      <c r="E166" s="257"/>
      <c r="F166" s="257"/>
      <c r="G166" s="257"/>
      <c r="H166" s="257"/>
      <c r="I166" s="257"/>
      <c r="J166" s="257"/>
      <c r="K166" s="257"/>
      <c r="L166" s="257"/>
      <c r="M166" s="159"/>
    </row>
    <row r="167" spans="1:67" ht="15" thickBot="1" x14ac:dyDescent="0.4">
      <c r="A167" s="273"/>
      <c r="B167" s="258"/>
      <c r="C167" s="258"/>
      <c r="D167" s="274"/>
      <c r="E167" s="258"/>
      <c r="F167" s="258"/>
      <c r="G167" s="258"/>
      <c r="H167" s="258"/>
      <c r="I167" s="258"/>
      <c r="J167" s="258"/>
      <c r="K167" s="258"/>
      <c r="L167" s="258"/>
      <c r="M167" s="159"/>
    </row>
    <row r="168" spans="1:67" x14ac:dyDescent="0.35">
      <c r="A168" s="159"/>
      <c r="B168" s="159"/>
      <c r="C168" s="159"/>
      <c r="D168" s="159"/>
      <c r="E168" s="159"/>
      <c r="F168" s="159"/>
      <c r="G168" s="159"/>
      <c r="H168" s="159"/>
      <c r="I168" s="159"/>
      <c r="J168" s="159"/>
      <c r="K168" s="159"/>
      <c r="L168" s="159"/>
      <c r="M168" s="160"/>
    </row>
    <row r="169" spans="1:67" x14ac:dyDescent="0.35">
      <c r="A169" s="253"/>
      <c r="B169" s="253"/>
      <c r="C169" s="253"/>
      <c r="D169" s="253"/>
      <c r="E169" s="159"/>
      <c r="F169" s="159"/>
      <c r="G169" s="159"/>
      <c r="H169" s="159"/>
      <c r="I169" s="159"/>
      <c r="J169" s="159"/>
      <c r="K169" s="159"/>
      <c r="L169" s="159"/>
      <c r="M169" s="159"/>
    </row>
    <row r="170" spans="1:67" x14ac:dyDescent="0.35">
      <c r="A170" s="263" t="s">
        <v>0</v>
      </c>
      <c r="B170" s="252" t="s">
        <v>10</v>
      </c>
      <c r="C170" s="252" t="s">
        <v>11</v>
      </c>
      <c r="D170" s="252" t="s">
        <v>12</v>
      </c>
      <c r="E170" s="275" t="s">
        <v>13</v>
      </c>
      <c r="F170" s="275" t="s">
        <v>14</v>
      </c>
      <c r="G170" s="275" t="s">
        <v>15</v>
      </c>
      <c r="H170" s="275" t="s">
        <v>16</v>
      </c>
      <c r="I170" s="290" t="s">
        <v>17</v>
      </c>
      <c r="J170" s="291" t="s">
        <v>23</v>
      </c>
      <c r="K170" s="291" t="s">
        <v>24</v>
      </c>
      <c r="L170" s="292" t="s">
        <v>18</v>
      </c>
      <c r="M170" s="159"/>
    </row>
    <row r="171" spans="1:67" x14ac:dyDescent="0.35">
      <c r="A171" s="297" t="s">
        <v>36</v>
      </c>
      <c r="B171" s="259"/>
      <c r="C171" s="259"/>
      <c r="D171" s="259"/>
      <c r="E171" s="276"/>
      <c r="F171" s="276"/>
      <c r="G171" s="276"/>
      <c r="H171" s="276"/>
      <c r="I171" s="276"/>
      <c r="J171" s="276"/>
      <c r="K171" s="293"/>
      <c r="L171" s="293"/>
      <c r="M171" s="159"/>
    </row>
    <row r="172" spans="1:67" s="158" customFormat="1" x14ac:dyDescent="0.35">
      <c r="A172" s="268" t="s">
        <v>20</v>
      </c>
      <c r="B172" s="254"/>
      <c r="C172" s="254"/>
      <c r="D172" s="254"/>
      <c r="E172" s="83"/>
      <c r="F172" s="83"/>
      <c r="G172" s="83"/>
      <c r="H172" s="83"/>
      <c r="I172" s="83"/>
      <c r="J172" s="83"/>
      <c r="K172" s="83"/>
      <c r="L172" s="83"/>
      <c r="M172" s="167"/>
      <c r="N172" s="168"/>
      <c r="O172" s="147"/>
      <c r="P172" s="168"/>
      <c r="Q172" s="168"/>
      <c r="R172" s="168"/>
      <c r="S172" s="168"/>
      <c r="T172" s="168"/>
      <c r="U172" s="168"/>
      <c r="V172" s="168"/>
      <c r="W172" s="168"/>
      <c r="X172" s="168"/>
      <c r="Y172" s="168"/>
      <c r="Z172" s="168"/>
      <c r="AA172" s="151"/>
      <c r="AB172" s="168"/>
      <c r="AC172" s="168"/>
      <c r="AD172" s="168"/>
      <c r="AE172" s="151"/>
      <c r="AF172" s="168"/>
      <c r="AG172" s="168"/>
      <c r="AH172" s="168"/>
      <c r="AI172" s="168"/>
      <c r="AJ172" s="168"/>
      <c r="AK172" s="168"/>
      <c r="AL172" s="168"/>
      <c r="AM172" s="168"/>
      <c r="AN172" s="168"/>
      <c r="AO172" s="168"/>
      <c r="AP172" s="168"/>
      <c r="AQ172" s="168"/>
      <c r="AR172" s="168"/>
      <c r="AS172" s="168"/>
      <c r="AT172" s="168"/>
      <c r="AU172" s="168"/>
      <c r="AV172" s="168"/>
      <c r="AW172" s="168"/>
      <c r="AX172" s="168"/>
      <c r="AY172" s="168"/>
      <c r="AZ172" s="168"/>
      <c r="BA172" s="168"/>
      <c r="BB172" s="168"/>
      <c r="BC172" s="168"/>
      <c r="BD172" s="168"/>
      <c r="BE172" s="168"/>
    </row>
    <row r="173" spans="1:67" ht="15" thickBot="1" x14ac:dyDescent="0.4">
      <c r="A173" s="268" t="s">
        <v>21</v>
      </c>
      <c r="B173" s="254"/>
      <c r="C173" s="254"/>
      <c r="D173" s="254"/>
      <c r="E173" s="83"/>
      <c r="F173" s="83"/>
      <c r="G173" s="83"/>
      <c r="H173" s="83"/>
      <c r="I173" s="83"/>
      <c r="J173" s="83"/>
      <c r="K173" s="83"/>
      <c r="L173" s="83"/>
      <c r="M173" s="159"/>
    </row>
    <row r="174" spans="1:67" s="156" customFormat="1" x14ac:dyDescent="0.35">
      <c r="A174" s="268" t="s">
        <v>26</v>
      </c>
      <c r="B174" s="260"/>
      <c r="C174" s="260"/>
      <c r="D174" s="260"/>
      <c r="E174" s="277"/>
      <c r="F174" s="277"/>
      <c r="G174" s="277"/>
      <c r="H174" s="277"/>
      <c r="I174" s="277"/>
      <c r="J174" s="277"/>
      <c r="K174" s="277"/>
      <c r="L174" s="277"/>
      <c r="M174" s="161"/>
      <c r="N174" s="168"/>
      <c r="O174" s="147"/>
      <c r="P174" s="168"/>
      <c r="Q174" s="168"/>
      <c r="R174" s="168"/>
      <c r="S174" s="168"/>
      <c r="T174" s="168"/>
      <c r="U174" s="168"/>
      <c r="V174" s="168"/>
      <c r="W174" s="168"/>
      <c r="X174" s="168"/>
      <c r="Y174" s="168"/>
      <c r="Z174" s="168"/>
      <c r="AA174" s="151"/>
      <c r="AB174" s="168"/>
      <c r="AC174" s="168"/>
      <c r="AD174" s="168"/>
      <c r="AE174" s="151"/>
      <c r="AF174" s="168"/>
      <c r="AG174" s="168"/>
      <c r="AH174" s="168"/>
      <c r="AI174" s="168"/>
      <c r="AJ174" s="168"/>
      <c r="AK174" s="168"/>
      <c r="AL174" s="168"/>
      <c r="AM174" s="168"/>
      <c r="AN174" s="168"/>
      <c r="AO174" s="168"/>
      <c r="AP174" s="168"/>
      <c r="AQ174" s="168"/>
      <c r="AR174" s="168"/>
      <c r="AS174" s="168"/>
      <c r="AT174" s="168"/>
      <c r="AU174" s="168"/>
      <c r="AV174" s="168"/>
      <c r="AW174" s="168"/>
      <c r="AX174" s="168"/>
      <c r="AY174" s="168"/>
      <c r="AZ174" s="168"/>
      <c r="BA174" s="168"/>
      <c r="BB174" s="168"/>
      <c r="BC174" s="168"/>
      <c r="BD174" s="168"/>
      <c r="BE174" s="168"/>
    </row>
    <row r="175" spans="1:67" s="155" customFormat="1" x14ac:dyDescent="0.35">
      <c r="A175" s="267" t="s">
        <v>22</v>
      </c>
      <c r="B175" s="254"/>
      <c r="C175" s="254"/>
      <c r="D175" s="254"/>
      <c r="E175" s="83"/>
      <c r="F175" s="83"/>
      <c r="G175" s="83"/>
      <c r="H175" s="83"/>
      <c r="I175" s="83"/>
      <c r="J175" s="83"/>
      <c r="K175" s="83"/>
      <c r="L175" s="83"/>
      <c r="M175" s="162"/>
      <c r="N175" s="168"/>
      <c r="O175" s="147"/>
      <c r="P175" s="168"/>
      <c r="Q175" s="168"/>
      <c r="R175" s="168"/>
      <c r="S175" s="168"/>
      <c r="T175" s="168"/>
      <c r="U175" s="168"/>
      <c r="V175" s="168"/>
      <c r="W175" s="168"/>
      <c r="X175" s="168"/>
      <c r="Y175" s="168"/>
      <c r="Z175" s="168"/>
      <c r="AA175" s="151"/>
      <c r="AB175" s="168"/>
      <c r="AC175" s="168"/>
      <c r="AD175" s="168"/>
      <c r="AE175" s="151"/>
      <c r="AF175" s="168"/>
      <c r="AG175" s="168"/>
      <c r="AH175" s="168"/>
      <c r="AI175" s="168"/>
      <c r="AJ175" s="168"/>
      <c r="AK175" s="168"/>
      <c r="AL175" s="168"/>
      <c r="AM175" s="168"/>
      <c r="AN175" s="168"/>
      <c r="AO175" s="168"/>
      <c r="AP175" s="168"/>
      <c r="AQ175" s="168"/>
      <c r="AR175" s="168"/>
      <c r="AS175" s="168"/>
      <c r="AT175" s="168"/>
      <c r="AU175" s="168"/>
      <c r="AV175" s="168"/>
      <c r="AW175" s="168"/>
      <c r="AX175" s="168"/>
      <c r="AY175" s="168"/>
      <c r="AZ175" s="168"/>
      <c r="BA175" s="168"/>
      <c r="BB175" s="168"/>
      <c r="BC175" s="168"/>
      <c r="BD175" s="168"/>
      <c r="BE175" s="168"/>
    </row>
    <row r="176" spans="1:67" s="155" customFormat="1" ht="15" thickBot="1" x14ac:dyDescent="0.4">
      <c r="A176" s="253"/>
      <c r="B176" s="253"/>
      <c r="C176" s="253"/>
      <c r="D176" s="253"/>
      <c r="E176" s="159"/>
      <c r="F176" s="159"/>
      <c r="G176" s="159"/>
      <c r="H176" s="159"/>
      <c r="I176" s="159"/>
      <c r="J176" s="159"/>
      <c r="K176" s="159"/>
      <c r="L176" s="159"/>
      <c r="M176" s="163"/>
      <c r="N176" s="168"/>
      <c r="O176" s="147"/>
      <c r="P176" s="168"/>
      <c r="Q176" s="168"/>
      <c r="R176" s="168"/>
      <c r="S176" s="168"/>
      <c r="T176" s="168"/>
      <c r="U176" s="168"/>
      <c r="V176" s="168"/>
      <c r="W176" s="168"/>
      <c r="X176" s="168"/>
      <c r="Y176" s="168"/>
      <c r="Z176" s="168"/>
      <c r="AA176" s="151"/>
      <c r="AB176" s="168"/>
      <c r="AC176" s="168"/>
      <c r="AD176" s="168"/>
      <c r="AE176" s="151"/>
      <c r="AF176" s="168"/>
      <c r="AG176" s="168"/>
      <c r="AH176" s="168"/>
      <c r="AI176" s="168"/>
      <c r="AJ176" s="168"/>
      <c r="AK176" s="168"/>
      <c r="AL176" s="168"/>
      <c r="AM176" s="168"/>
      <c r="AN176" s="168"/>
      <c r="AO176" s="168"/>
      <c r="AP176" s="168"/>
      <c r="AQ176" s="168"/>
      <c r="AR176" s="168"/>
      <c r="AS176" s="168"/>
      <c r="AT176" s="168"/>
      <c r="AU176" s="168"/>
      <c r="AV176" s="168"/>
      <c r="AW176" s="168"/>
      <c r="AX176" s="168"/>
      <c r="AY176" s="168"/>
      <c r="AZ176" s="168"/>
      <c r="BA176" s="168"/>
      <c r="BB176" s="168"/>
      <c r="BC176" s="168"/>
      <c r="BD176" s="168"/>
      <c r="BE176" s="168"/>
    </row>
    <row r="177" spans="1:57" s="155" customFormat="1" x14ac:dyDescent="0.35">
      <c r="A177" s="271" t="s">
        <v>56</v>
      </c>
      <c r="B177" s="254"/>
      <c r="C177" s="254"/>
      <c r="D177" s="254"/>
      <c r="E177" s="83"/>
      <c r="F177" s="83"/>
      <c r="G177" s="83"/>
      <c r="H177" s="83"/>
      <c r="I177" s="83"/>
      <c r="J177" s="83"/>
      <c r="K177" s="83"/>
      <c r="L177" s="83"/>
      <c r="M177" s="162"/>
      <c r="N177" s="168"/>
      <c r="O177" s="147"/>
      <c r="P177" s="168"/>
      <c r="Q177" s="168"/>
      <c r="R177" s="168"/>
      <c r="S177" s="168"/>
      <c r="T177" s="168"/>
      <c r="U177" s="168"/>
      <c r="V177" s="168"/>
      <c r="W177" s="168"/>
      <c r="X177" s="168"/>
      <c r="Y177" s="168"/>
      <c r="Z177" s="168"/>
      <c r="AA177" s="151"/>
      <c r="AB177" s="168"/>
      <c r="AC177" s="168"/>
      <c r="AD177" s="168"/>
      <c r="AE177" s="151"/>
      <c r="AF177" s="168"/>
      <c r="AG177" s="168"/>
      <c r="AH177" s="168"/>
      <c r="AI177" s="168"/>
      <c r="AJ177" s="168"/>
      <c r="AK177" s="168"/>
      <c r="AL177" s="168"/>
      <c r="AM177" s="168"/>
      <c r="AN177" s="168"/>
      <c r="AO177" s="168"/>
      <c r="AP177" s="168"/>
      <c r="AQ177" s="168"/>
      <c r="AR177" s="168"/>
      <c r="AS177" s="168"/>
      <c r="AT177" s="168"/>
      <c r="AU177" s="168"/>
      <c r="AV177" s="168"/>
      <c r="AW177" s="168"/>
      <c r="AX177" s="168"/>
      <c r="AY177" s="168"/>
      <c r="AZ177" s="168"/>
      <c r="BA177" s="168"/>
      <c r="BB177" s="168"/>
      <c r="BC177" s="168"/>
      <c r="BD177" s="168"/>
      <c r="BE177" s="168"/>
    </row>
    <row r="178" spans="1:57" s="157" customFormat="1" ht="15" thickBot="1" x14ac:dyDescent="0.4">
      <c r="A178" s="294" t="s">
        <v>49</v>
      </c>
      <c r="B178" s="278"/>
      <c r="C178" s="278"/>
      <c r="D178" s="278"/>
      <c r="E178" s="278"/>
      <c r="F178" s="278"/>
      <c r="G178" s="278"/>
      <c r="H178" s="278"/>
      <c r="I178" s="278"/>
      <c r="J178" s="278"/>
      <c r="K178" s="278"/>
      <c r="L178" s="278"/>
      <c r="M178" s="164"/>
      <c r="N178" s="168"/>
      <c r="O178" s="147"/>
      <c r="P178" s="168"/>
      <c r="Q178" s="168"/>
      <c r="R178" s="168"/>
      <c r="S178" s="168"/>
      <c r="T178" s="168"/>
      <c r="U178" s="168"/>
      <c r="V178" s="168"/>
      <c r="W178" s="168"/>
      <c r="X178" s="168"/>
      <c r="Y178" s="168"/>
      <c r="Z178" s="168"/>
      <c r="AA178" s="151"/>
      <c r="AB178" s="168"/>
      <c r="AC178" s="168"/>
      <c r="AD178" s="168"/>
      <c r="AE178" s="151"/>
      <c r="AF178" s="168"/>
      <c r="AG178" s="168"/>
      <c r="AH178" s="168"/>
      <c r="AI178" s="168"/>
      <c r="AJ178" s="168"/>
      <c r="AK178" s="168"/>
      <c r="AL178" s="168"/>
      <c r="AM178" s="168"/>
      <c r="AN178" s="168"/>
      <c r="AO178" s="168"/>
      <c r="AP178" s="168"/>
      <c r="AQ178" s="168"/>
      <c r="AR178" s="168"/>
      <c r="AS178" s="168"/>
      <c r="AT178" s="168"/>
      <c r="AU178" s="168"/>
      <c r="AV178" s="168"/>
      <c r="AW178" s="168"/>
      <c r="AX178" s="168"/>
      <c r="AY178" s="168"/>
      <c r="AZ178" s="168"/>
      <c r="BA178" s="168"/>
      <c r="BB178" s="168"/>
      <c r="BC178" s="168"/>
      <c r="BD178" s="168"/>
      <c r="BE178" s="168"/>
    </row>
    <row r="179" spans="1:57" x14ac:dyDescent="0.35">
      <c r="A179" s="294" t="s">
        <v>50</v>
      </c>
      <c r="B179" s="279"/>
      <c r="C179" s="279"/>
      <c r="D179" s="279"/>
      <c r="E179" s="279"/>
      <c r="F179" s="279"/>
      <c r="G179" s="279"/>
      <c r="H179" s="279"/>
      <c r="I179" s="279"/>
      <c r="J179" s="279"/>
      <c r="K179" s="279"/>
      <c r="L179" s="279"/>
      <c r="M179" s="159"/>
    </row>
    <row r="180" spans="1:57" x14ac:dyDescent="0.35">
      <c r="A180" s="294" t="s">
        <v>52</v>
      </c>
      <c r="B180" s="278"/>
      <c r="C180" s="278"/>
      <c r="D180" s="278"/>
      <c r="E180" s="278"/>
      <c r="F180" s="278"/>
      <c r="G180" s="278"/>
      <c r="H180" s="278"/>
      <c r="I180" s="278"/>
      <c r="J180" s="278"/>
      <c r="K180" s="278"/>
      <c r="L180" s="278"/>
      <c r="M180" s="159"/>
    </row>
    <row r="181" spans="1:57" ht="15" thickBot="1" x14ac:dyDescent="0.4">
      <c r="A181" s="295" t="s">
        <v>51</v>
      </c>
      <c r="B181" s="280"/>
      <c r="C181" s="280"/>
      <c r="D181" s="280"/>
      <c r="E181" s="280"/>
      <c r="F181" s="280"/>
      <c r="G181" s="280"/>
      <c r="H181" s="280"/>
      <c r="I181" s="280"/>
      <c r="J181" s="280"/>
      <c r="K181" s="280"/>
      <c r="L181" s="280"/>
      <c r="M181" s="159"/>
    </row>
    <row r="182" spans="1:57" x14ac:dyDescent="0.35">
      <c r="A182" s="159"/>
      <c r="B182" s="159"/>
      <c r="C182" s="159"/>
      <c r="D182" s="159"/>
      <c r="E182" s="159"/>
      <c r="F182" s="159"/>
      <c r="G182" s="159"/>
      <c r="H182" s="159"/>
      <c r="I182" s="159"/>
      <c r="J182" s="159"/>
      <c r="K182" s="159"/>
      <c r="L182" s="159"/>
      <c r="M182" s="159"/>
    </row>
  </sheetData>
  <mergeCells count="6">
    <mergeCell ref="X14:Z14"/>
    <mergeCell ref="AB14:AD14"/>
    <mergeCell ref="AF14:AI14"/>
    <mergeCell ref="O25:Z26"/>
    <mergeCell ref="AB25:AD26"/>
    <mergeCell ref="AF25:AH2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76CB591595C4EAD7937C8AE84EC91" ma:contentTypeVersion="13" ma:contentTypeDescription="Create a new document." ma:contentTypeScope="" ma:versionID="e8db4e79b6da6facd7d38b4b45790111">
  <xsd:schema xmlns:xsd="http://www.w3.org/2001/XMLSchema" xmlns:xs="http://www.w3.org/2001/XMLSchema" xmlns:p="http://schemas.microsoft.com/office/2006/metadata/properties" xmlns:ns3="22a9cf1b-8d5d-4f3f-afa0-2856fcaeb72f" xmlns:ns4="405343c7-7b37-4657-8a0a-fdc41480f403" targetNamespace="http://schemas.microsoft.com/office/2006/metadata/properties" ma:root="true" ma:fieldsID="7140b1a919dbaf07daf73570471e77ad" ns3:_="" ns4:_="">
    <xsd:import namespace="22a9cf1b-8d5d-4f3f-afa0-2856fcaeb72f"/>
    <xsd:import namespace="405343c7-7b37-4657-8a0a-fdc41480f4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9cf1b-8d5d-4f3f-afa0-2856fcaeb7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5343c7-7b37-4657-8a0a-fdc41480f40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6C5035-CDDD-4A15-A06B-EF3EFA7524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a9cf1b-8d5d-4f3f-afa0-2856fcaeb72f"/>
    <ds:schemaRef ds:uri="405343c7-7b37-4657-8a0a-fdc41480f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3A8B2C-B3AF-43AE-9FEE-E44BE6DDD0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69D350-3299-48CE-99DC-43668367266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carbon emissions saved</vt:lpstr>
      <vt:lpstr>total fundsize</vt:lpstr>
      <vt:lpstr>Co2 archetype projections</vt:lpstr>
      <vt:lpstr>Housing proportion</vt:lpstr>
      <vt:lpstr>housing proportion projections</vt:lpstr>
      <vt:lpstr>scenario 1</vt:lpstr>
      <vt:lpstr>scenario 2.1 </vt:lpstr>
      <vt:lpstr>scenario 3</vt:lpstr>
      <vt:lpstr>scenario 4</vt:lpstr>
      <vt:lpstr>reference data</vt:lpstr>
      <vt:lpstr>reference data- 2</vt:lpstr>
      <vt:lpstr>password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McGrath</dc:creator>
  <cp:lastModifiedBy>Tassos Kougionis</cp:lastModifiedBy>
  <dcterms:created xsi:type="dcterms:W3CDTF">2019-10-08T08:57:44Z</dcterms:created>
  <dcterms:modified xsi:type="dcterms:W3CDTF">2020-04-30T16:49:57Z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0x01010023276CB591595C4EAD7937C8AE84EC91</vt:lpwstr>
  </property>
</Properties>
</file>